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510" activeTab="0"/>
  </bookViews>
  <sheets>
    <sheet name="perform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<sst xmlns="http://schemas.openxmlformats.org/spreadsheetml/2006/main" count="1458" uniqueCount="853">
  <si>
    <t>Historic Aircraft Performance</t>
  </si>
  <si>
    <t>=D/q</t>
  </si>
  <si>
    <t>incl aileron</t>
  </si>
  <si>
    <t>Flat Plate Drag Area</t>
  </si>
  <si>
    <t>Year</t>
  </si>
  <si>
    <t>Make</t>
  </si>
  <si>
    <t>Model</t>
  </si>
  <si>
    <t>Nickname</t>
  </si>
  <si>
    <t>Engine</t>
  </si>
  <si>
    <t>Power</t>
  </si>
  <si>
    <t>Seats</t>
  </si>
  <si>
    <t>Max Speed</t>
  </si>
  <si>
    <t>Cruise Speed</t>
  </si>
  <si>
    <t>Landing Speed</t>
  </si>
  <si>
    <t>Vs0</t>
  </si>
  <si>
    <t>Vs1</t>
  </si>
  <si>
    <t>Best Glide</t>
  </si>
  <si>
    <t>Takeoff dist</t>
  </si>
  <si>
    <t>Max Range</t>
  </si>
  <si>
    <t>Range at Cruise</t>
  </si>
  <si>
    <t>Max End</t>
  </si>
  <si>
    <t>Climb (SL)</t>
  </si>
  <si>
    <t>Ser Ceiling</t>
  </si>
  <si>
    <t>Abs Ceiling</t>
  </si>
  <si>
    <t>Max Overload</t>
  </si>
  <si>
    <t>Gross Wt</t>
  </si>
  <si>
    <t>Empty Wt</t>
  </si>
  <si>
    <t>Useful Load</t>
  </si>
  <si>
    <t>Price</t>
  </si>
  <si>
    <t>Fuel</t>
  </si>
  <si>
    <t xml:space="preserve">oil </t>
  </si>
  <si>
    <t>b</t>
  </si>
  <si>
    <t>S</t>
  </si>
  <si>
    <t>Ail Area</t>
  </si>
  <si>
    <t>Stab Area</t>
  </si>
  <si>
    <t>Elev Area</t>
  </si>
  <si>
    <t>Fin Area</t>
  </si>
  <si>
    <t>Rudder Area</t>
  </si>
  <si>
    <t>No. Produced</t>
  </si>
  <si>
    <t>Source</t>
  </si>
  <si>
    <t>Airfoil Root</t>
  </si>
  <si>
    <t>Airfoil Tip</t>
  </si>
  <si>
    <t>ATC</t>
  </si>
  <si>
    <t>Notes</t>
  </si>
  <si>
    <t>Wing Loading</t>
  </si>
  <si>
    <t>Power Loading</t>
  </si>
  <si>
    <t>WLxPL</t>
  </si>
  <si>
    <t>PL Fraction</t>
  </si>
  <si>
    <t>Eff Ratio</t>
  </si>
  <si>
    <t>Cl max</t>
  </si>
  <si>
    <t>Ae</t>
  </si>
  <si>
    <t>1st Flt</t>
  </si>
  <si>
    <t>hp</t>
  </si>
  <si>
    <t>mph</t>
  </si>
  <si>
    <t>ft at SL</t>
  </si>
  <si>
    <t>sm</t>
  </si>
  <si>
    <t>hours</t>
  </si>
  <si>
    <t>fpm</t>
  </si>
  <si>
    <t>ft</t>
  </si>
  <si>
    <t>lb</t>
  </si>
  <si>
    <t>US gal</t>
  </si>
  <si>
    <t>ft^2</t>
  </si>
  <si>
    <t>c=constant</t>
  </si>
  <si>
    <t>lb/ft^2</t>
  </si>
  <si>
    <t>lb/hp</t>
  </si>
  <si>
    <t>lb^2/(ft^2hp)</t>
  </si>
  <si>
    <t>Useful/gross</t>
  </si>
  <si>
    <t>Top/Stall</t>
  </si>
  <si>
    <t>incl ailerons</t>
  </si>
  <si>
    <t>SEL</t>
  </si>
  <si>
    <t>Halberstadt</t>
  </si>
  <si>
    <t>CL. IV</t>
  </si>
  <si>
    <t>Junkers</t>
  </si>
  <si>
    <t>C.I</t>
  </si>
  <si>
    <t>Lockheed</t>
  </si>
  <si>
    <t>Model 5</t>
  </si>
  <si>
    <t>Vega</t>
  </si>
  <si>
    <t>P&amp;W Wasp</t>
  </si>
  <si>
    <t>Roland</t>
  </si>
  <si>
    <t>D.IIa</t>
  </si>
  <si>
    <t>Thomas Morse</t>
  </si>
  <si>
    <t>O-6B</t>
  </si>
  <si>
    <t>25,26</t>
  </si>
  <si>
    <t>Clark Y</t>
  </si>
  <si>
    <t>c</t>
  </si>
  <si>
    <t>Wright</t>
  </si>
  <si>
    <t>Flyer</t>
  </si>
  <si>
    <t>Wright 4 cyl, WC</t>
  </si>
  <si>
    <t>Pfitzner</t>
  </si>
  <si>
    <t>Monoplane</t>
  </si>
  <si>
    <t>Curtiss 4 cyl, WC</t>
  </si>
  <si>
    <t xml:space="preserve"> </t>
  </si>
  <si>
    <t>Queen Aeroplane Co</t>
  </si>
  <si>
    <t>Bleriot XI</t>
  </si>
  <si>
    <t>V-8</t>
  </si>
  <si>
    <t>Curtiss</t>
  </si>
  <si>
    <t>Sig Corps No21</t>
  </si>
  <si>
    <t>Curtiss Model O</t>
  </si>
  <si>
    <t>Curtiss Modified Eiffel 35</t>
  </si>
  <si>
    <t>Etrich</t>
  </si>
  <si>
    <t>Taube</t>
  </si>
  <si>
    <t>Daimler-Mercedes 6 cyl</t>
  </si>
  <si>
    <t>Martin</t>
  </si>
  <si>
    <t>Model TT</t>
  </si>
  <si>
    <t>Curtiss OX-2</t>
  </si>
  <si>
    <t>JN2</t>
  </si>
  <si>
    <t>Curtiss OX</t>
  </si>
  <si>
    <t>21,26</t>
  </si>
  <si>
    <t>Eiffel 36</t>
  </si>
  <si>
    <t>JN4-A</t>
  </si>
  <si>
    <t>Wright-Martin</t>
  </si>
  <si>
    <t>Model V</t>
  </si>
  <si>
    <t>Wright Simplex A</t>
  </si>
  <si>
    <t>Vought Airfoil (modified RAF 15)</t>
  </si>
  <si>
    <t>JN4-B</t>
  </si>
  <si>
    <t>Jenny</t>
  </si>
  <si>
    <t>JN-4D</t>
  </si>
  <si>
    <t>Curtiss OX-5</t>
  </si>
  <si>
    <t>1,12,38</t>
  </si>
  <si>
    <t>Fokker</t>
  </si>
  <si>
    <t>DR.I</t>
  </si>
  <si>
    <t>Oberursel UII 9cyl</t>
  </si>
  <si>
    <t>23,30</t>
  </si>
  <si>
    <t>Royal Aircraft Factory</t>
  </si>
  <si>
    <t>SE-5</t>
  </si>
  <si>
    <t>Hispano-Suiza</t>
  </si>
  <si>
    <t>23,32</t>
  </si>
  <si>
    <t>Standard Aircraft</t>
  </si>
  <si>
    <t>J-1</t>
  </si>
  <si>
    <t>Hall-Scott</t>
  </si>
  <si>
    <t>3,1</t>
  </si>
  <si>
    <t>USA-6</t>
  </si>
  <si>
    <t>J-1 (Modified)</t>
  </si>
  <si>
    <t>Post War Mod Config</t>
  </si>
  <si>
    <t>Wright Simplex A (Hispano Suiza)</t>
  </si>
  <si>
    <t>40,3,1</t>
  </si>
  <si>
    <t>Aeromarine</t>
  </si>
  <si>
    <t>39B</t>
  </si>
  <si>
    <t>Curtiss OXX-6</t>
  </si>
  <si>
    <t>RAF 6</t>
  </si>
  <si>
    <t>Berkmans</t>
  </si>
  <si>
    <t>Speed Scout</t>
  </si>
  <si>
    <t xml:space="preserve">Gnome </t>
  </si>
  <si>
    <t>JN4h</t>
  </si>
  <si>
    <t>Wright Model A (Hispano)</t>
  </si>
  <si>
    <t>D.VII</t>
  </si>
  <si>
    <t>Mercedes D.III</t>
  </si>
  <si>
    <t>23,31</t>
  </si>
  <si>
    <t>D.VIII</t>
  </si>
  <si>
    <t xml:space="preserve">Oberursel </t>
  </si>
  <si>
    <t>L.W.F.</t>
  </si>
  <si>
    <t>Model G</t>
  </si>
  <si>
    <t>Liberty 12</t>
  </si>
  <si>
    <t>L-W-F No.1</t>
  </si>
  <si>
    <t>Packard-LePere</t>
  </si>
  <si>
    <t>LUSAC-11</t>
  </si>
  <si>
    <t>Pfalz</t>
  </si>
  <si>
    <t>D.IIIa</t>
  </si>
  <si>
    <t>Vought</t>
  </si>
  <si>
    <t>VE-7</t>
  </si>
  <si>
    <t>Boeing</t>
  </si>
  <si>
    <t>MB-3A</t>
  </si>
  <si>
    <t>Wright-Hispano H-3</t>
  </si>
  <si>
    <t>Eng Div</t>
  </si>
  <si>
    <t>VE-7 mod</t>
  </si>
  <si>
    <t>Wright Model E (Hispano)</t>
  </si>
  <si>
    <t>34,26</t>
  </si>
  <si>
    <t>Big Engine and Streamline Wires</t>
  </si>
  <si>
    <t>Engineering Div-Verville</t>
  </si>
  <si>
    <t>VCP-1</t>
  </si>
  <si>
    <t>Pursuit</t>
  </si>
  <si>
    <t>Hispano Suiza</t>
  </si>
  <si>
    <t>RAF-15</t>
  </si>
  <si>
    <t>LWF-CATO</t>
  </si>
  <si>
    <t>Model L</t>
  </si>
  <si>
    <t>Butterfly</t>
  </si>
  <si>
    <t>CATO Air Cooled 2 Cyl</t>
  </si>
  <si>
    <t>CATO No. 4 (Mod USA 6)</t>
  </si>
  <si>
    <t>MB-3</t>
  </si>
  <si>
    <t>Wright H</t>
  </si>
  <si>
    <t>3,25</t>
  </si>
  <si>
    <t>Curtiss-Cox</t>
  </si>
  <si>
    <t>Texas Wildcat</t>
  </si>
  <si>
    <t>Curtiss-Kirkham K-12</t>
  </si>
  <si>
    <t>Dr Zahm Special</t>
  </si>
  <si>
    <t>Laird</t>
  </si>
  <si>
    <t>Swallow</t>
  </si>
  <si>
    <t>Waco</t>
  </si>
  <si>
    <t>Cootie Parasol Monoplane</t>
  </si>
  <si>
    <t>2 cyl air cooled</t>
  </si>
  <si>
    <t>Waco 4</t>
  </si>
  <si>
    <t>USA-27</t>
  </si>
  <si>
    <t>Waterman</t>
  </si>
  <si>
    <t>Racer</t>
  </si>
  <si>
    <t>Gosling</t>
  </si>
  <si>
    <t>RAF 15</t>
  </si>
  <si>
    <t>R-6</t>
  </si>
  <si>
    <t>Curtiss D-12 High Compression</t>
  </si>
  <si>
    <t>Curtiss C-27</t>
  </si>
  <si>
    <t>Navy Wright</t>
  </si>
  <si>
    <t>NW-1</t>
  </si>
  <si>
    <t>Wright T-2 Special</t>
  </si>
  <si>
    <t>M-90</t>
  </si>
  <si>
    <t>VE-9</t>
  </si>
  <si>
    <t>Training</t>
  </si>
  <si>
    <t>Wright E</t>
  </si>
  <si>
    <t>Huff-Daland</t>
  </si>
  <si>
    <t>XLB-1</t>
  </si>
  <si>
    <t>Packard 1A-2540</t>
  </si>
  <si>
    <t>USA 45</t>
  </si>
  <si>
    <t>Sperry</t>
  </si>
  <si>
    <t>M-1A</t>
  </si>
  <si>
    <t>Messenger</t>
  </si>
  <si>
    <t>Lawrence L-2</t>
  </si>
  <si>
    <t>USA 5</t>
  </si>
  <si>
    <t>Thomas Morrse (Modified by Holman)</t>
  </si>
  <si>
    <t>S4C (Modified)</t>
  </si>
  <si>
    <t>Scout</t>
  </si>
  <si>
    <t>OX-5</t>
  </si>
  <si>
    <t>Modification of war surplus plane by 'Speed' Holman</t>
  </si>
  <si>
    <t>Waco 6</t>
  </si>
  <si>
    <t>F2W-1</t>
  </si>
  <si>
    <t>Wright T-3 Special</t>
  </si>
  <si>
    <t>Wright W-1 (modified M-80)</t>
  </si>
  <si>
    <t>S/N A-6744</t>
  </si>
  <si>
    <t>S/N A-6743</t>
  </si>
  <si>
    <t>Atlantic</t>
  </si>
  <si>
    <t>DH-4M-2</t>
  </si>
  <si>
    <t>Observation</t>
  </si>
  <si>
    <t>Liberty 12-A</t>
  </si>
  <si>
    <t>PW-9</t>
  </si>
  <si>
    <t>Curtiss D12</t>
  </si>
  <si>
    <t>Go 436</t>
  </si>
  <si>
    <t>PW-8</t>
  </si>
  <si>
    <t>Curtiss D-12</t>
  </si>
  <si>
    <t>2,25</t>
  </si>
  <si>
    <t>Curtiss C-62</t>
  </si>
  <si>
    <t>OX-5 Commercial</t>
  </si>
  <si>
    <t>Commercial</t>
  </si>
  <si>
    <t>C-6 Commercial</t>
  </si>
  <si>
    <t>Curtiss C-6</t>
  </si>
  <si>
    <t>New Swallow</t>
  </si>
  <si>
    <t>Verville-Sperry</t>
  </si>
  <si>
    <t>R-3</t>
  </si>
  <si>
    <t>McCook Field Project 362</t>
  </si>
  <si>
    <t>Verville Special (modified NACA 81)</t>
  </si>
  <si>
    <t>Winner 1924 Pulitzer Race</t>
  </si>
  <si>
    <t>Waco 7</t>
  </si>
  <si>
    <t>Alexander</t>
  </si>
  <si>
    <t>Eaglerock</t>
  </si>
  <si>
    <t>Consolidated</t>
  </si>
  <si>
    <t>PT-1</t>
  </si>
  <si>
    <t>Wright E  V-720</t>
  </si>
  <si>
    <t>USA 27</t>
  </si>
  <si>
    <t>Douglas</t>
  </si>
  <si>
    <t>C-1</t>
  </si>
  <si>
    <t>Liberty 12  V-1650-1</t>
  </si>
  <si>
    <t>O-2</t>
  </si>
  <si>
    <t>Pitcarin</t>
  </si>
  <si>
    <t>PA-1</t>
  </si>
  <si>
    <t>Fleetwing</t>
  </si>
  <si>
    <t>Travel Air</t>
  </si>
  <si>
    <t>Model A</t>
  </si>
  <si>
    <t>Waco 9</t>
  </si>
  <si>
    <t>Carrier Pigeon I</t>
  </si>
  <si>
    <t>F6C-3</t>
  </si>
  <si>
    <t>Hawk</t>
  </si>
  <si>
    <t>20,29</t>
  </si>
  <si>
    <t>M-2</t>
  </si>
  <si>
    <t>O-2C</t>
  </si>
  <si>
    <t>Fairchild</t>
  </si>
  <si>
    <t>FC-1</t>
  </si>
  <si>
    <t>2,1</t>
  </si>
  <si>
    <t>Goettingen 387</t>
  </si>
  <si>
    <t>FC-1 (Option)</t>
  </si>
  <si>
    <t>Wright J-4</t>
  </si>
  <si>
    <t>LC-B</t>
  </si>
  <si>
    <t>Wright J-5</t>
  </si>
  <si>
    <t>Pitcairn</t>
  </si>
  <si>
    <t>PA-2 OX-5</t>
  </si>
  <si>
    <t>Sesquiwing</t>
  </si>
  <si>
    <t>PA-2 C6A</t>
  </si>
  <si>
    <t>PA-3</t>
  </si>
  <si>
    <t>Orowing</t>
  </si>
  <si>
    <t>Ryan</t>
  </si>
  <si>
    <t>M-1</t>
  </si>
  <si>
    <t>Hisso A</t>
  </si>
  <si>
    <t>1,8</t>
  </si>
  <si>
    <t>M-1 (option)</t>
  </si>
  <si>
    <t>Stinson</t>
  </si>
  <si>
    <t>SB-1</t>
  </si>
  <si>
    <t>Detroiter</t>
  </si>
  <si>
    <t>$12500, $11000</t>
  </si>
  <si>
    <t>1,8,40</t>
  </si>
  <si>
    <t>3000</t>
  </si>
  <si>
    <t>4000</t>
  </si>
  <si>
    <t>5000</t>
  </si>
  <si>
    <t>Designed by Clyde Cessna</t>
  </si>
  <si>
    <t>F3B-1</t>
  </si>
  <si>
    <t>P&amp;W R1340-80</t>
  </si>
  <si>
    <t>Boeing Special</t>
  </si>
  <si>
    <t>Model 40-A</t>
  </si>
  <si>
    <t>Buhl-Verville</t>
  </si>
  <si>
    <t>J4</t>
  </si>
  <si>
    <t>Airster</t>
  </si>
  <si>
    <t>Wright J4</t>
  </si>
  <si>
    <t>CA-3A</t>
  </si>
  <si>
    <t>Wright J5</t>
  </si>
  <si>
    <t>Cessna</t>
  </si>
  <si>
    <t>Phantom</t>
  </si>
  <si>
    <t>Anzani 10 cyl radial</t>
  </si>
  <si>
    <t>F6C-4</t>
  </si>
  <si>
    <t>P&amp;W R-1300</t>
  </si>
  <si>
    <t>18,29</t>
  </si>
  <si>
    <t>O-11</t>
  </si>
  <si>
    <t>O-1B</t>
  </si>
  <si>
    <t>Curtiss D12:  V-1150-5</t>
  </si>
  <si>
    <t>P-1B</t>
  </si>
  <si>
    <t>Curtiss D12:  V-1150-3</t>
  </si>
  <si>
    <t>XP-3A</t>
  </si>
  <si>
    <t>P&amp;W R-1340-9</t>
  </si>
  <si>
    <t>XP-6</t>
  </si>
  <si>
    <t>Curtiss V1550</t>
  </si>
  <si>
    <t>O-2H</t>
  </si>
  <si>
    <t>Goettingen 398</t>
  </si>
  <si>
    <t>FC-2</t>
  </si>
  <si>
    <t>PA-4</t>
  </si>
  <si>
    <t>Fleetwing II</t>
  </si>
  <si>
    <t>PA-5</t>
  </si>
  <si>
    <t>Mailwing</t>
  </si>
  <si>
    <t>Wright J5-9</t>
  </si>
  <si>
    <t>Sport Mailing</t>
  </si>
  <si>
    <t>Bluebird</t>
  </si>
  <si>
    <t>NYP</t>
  </si>
  <si>
    <t>Spirit of St. Louis</t>
  </si>
  <si>
    <t>Wright J-5-C</t>
  </si>
  <si>
    <t>7,10</t>
  </si>
  <si>
    <t>Winner of Orteig Prize, Designed by Donald Hall</t>
  </si>
  <si>
    <t>2000</t>
  </si>
  <si>
    <t>Waco 10</t>
  </si>
  <si>
    <t>XP-8</t>
  </si>
  <si>
    <t>Packard 2A-1500</t>
  </si>
  <si>
    <t>Boeing 103A</t>
  </si>
  <si>
    <t>Model AA</t>
  </si>
  <si>
    <t>Anzani</t>
  </si>
  <si>
    <t>Model AW</t>
  </si>
  <si>
    <t>Warner Scarab</t>
  </si>
  <si>
    <t>PT-3</t>
  </si>
  <si>
    <t>Wright J-5   R-790</t>
  </si>
  <si>
    <t>Robin</t>
  </si>
  <si>
    <t>1,8,13</t>
  </si>
  <si>
    <t>Sink at 65 is 1800 fpm, Sink at 80 is 1000 fpm</t>
  </si>
  <si>
    <t>XA-4</t>
  </si>
  <si>
    <t>FC-2W2</t>
  </si>
  <si>
    <t>P&amp;W Wasp B</t>
  </si>
  <si>
    <t>2,24</t>
  </si>
  <si>
    <t>Great Lakes</t>
  </si>
  <si>
    <t>TG-1</t>
  </si>
  <si>
    <t>P&amp;W R-1690</t>
  </si>
  <si>
    <t>TG-2</t>
  </si>
  <si>
    <t>Heath</t>
  </si>
  <si>
    <t>Baby Bullet</t>
  </si>
  <si>
    <t>Bristol Cherub III (75 cu in)</t>
  </si>
  <si>
    <t>French St Cyr 52</t>
  </si>
  <si>
    <t>T4M-1</t>
  </si>
  <si>
    <t>PA-6</t>
  </si>
  <si>
    <t>Super Mailwing</t>
  </si>
  <si>
    <t>Sport Mailwing</t>
  </si>
  <si>
    <t>PA-6B</t>
  </si>
  <si>
    <t>NACA low drag cowl</t>
  </si>
  <si>
    <t>Spartan</t>
  </si>
  <si>
    <t>C3-1</t>
  </si>
  <si>
    <t>Ryan-Siemans Air Cooled Radial</t>
  </si>
  <si>
    <t>Stearman</t>
  </si>
  <si>
    <t>C-3B</t>
  </si>
  <si>
    <t>SM-2</t>
  </si>
  <si>
    <t>Junior</t>
  </si>
  <si>
    <t>Timm</t>
  </si>
  <si>
    <t>C-170</t>
  </si>
  <si>
    <t>Collegiate</t>
  </si>
  <si>
    <t>Curtiss R-600 Challenger</t>
  </si>
  <si>
    <t>Fage &amp; Collins No.4 (NACA Report 124)</t>
  </si>
  <si>
    <t>C-185</t>
  </si>
  <si>
    <t>Kinner</t>
  </si>
  <si>
    <t>ATO</t>
  </si>
  <si>
    <t>Taperwing</t>
  </si>
  <si>
    <t>NACA M-6</t>
  </si>
  <si>
    <t>Won 1928 NY to LA race</t>
  </si>
  <si>
    <t>Aeronca</t>
  </si>
  <si>
    <t>C-2</t>
  </si>
  <si>
    <t>E-107-A</t>
  </si>
  <si>
    <t>A-3B</t>
  </si>
  <si>
    <t>Falcon</t>
  </si>
  <si>
    <t>Curtiss V-1150-5 (d-12)</t>
  </si>
  <si>
    <t>LC-R200</t>
  </si>
  <si>
    <t>Speedwing</t>
  </si>
  <si>
    <t>LC-R300</t>
  </si>
  <si>
    <t>Wright J-6-9</t>
  </si>
  <si>
    <t>Mahoney - Ryan</t>
  </si>
  <si>
    <t>B-5</t>
  </si>
  <si>
    <t>Brougham</t>
  </si>
  <si>
    <t>PA-7M</t>
  </si>
  <si>
    <t>Wright J6-7</t>
  </si>
  <si>
    <t>PA-7</t>
  </si>
  <si>
    <t>Model R</t>
  </si>
  <si>
    <t>Mystery Ship</t>
  </si>
  <si>
    <t>Wright J6-9</t>
  </si>
  <si>
    <t>1,9,35</t>
  </si>
  <si>
    <t>Won 1929 Thompson Trophy</t>
  </si>
  <si>
    <t>Monomail</t>
  </si>
  <si>
    <t>P&amp;W Hornet</t>
  </si>
  <si>
    <t>Howard</t>
  </si>
  <si>
    <t>DGA-3</t>
  </si>
  <si>
    <t>Pete</t>
  </si>
  <si>
    <t>Wright Gypsy</t>
  </si>
  <si>
    <t>LC-B300</t>
  </si>
  <si>
    <t>LC-1B300</t>
  </si>
  <si>
    <t>NACA Cowl</t>
  </si>
  <si>
    <t>LC-RW300</t>
  </si>
  <si>
    <t>P&amp;W Wasp Jr</t>
  </si>
  <si>
    <t>LC-DW-300</t>
  </si>
  <si>
    <t>Solution</t>
  </si>
  <si>
    <t>P&amp;W Wasp Jr Prototype</t>
  </si>
  <si>
    <t>3,40</t>
  </si>
  <si>
    <t>NACA M-12</t>
  </si>
  <si>
    <t>Won 1930 Thompson Trophy</t>
  </si>
  <si>
    <t>Monocoupe</t>
  </si>
  <si>
    <t>110</t>
  </si>
  <si>
    <t>Warner 7 Cyl</t>
  </si>
  <si>
    <t>1,16</t>
  </si>
  <si>
    <t>Mod Clark Y</t>
  </si>
  <si>
    <t>5.5 sec for 360 deg roll</t>
  </si>
  <si>
    <t>90</t>
  </si>
  <si>
    <t>Lambert R-266</t>
  </si>
  <si>
    <t>1,11</t>
  </si>
  <si>
    <t>SM-8A</t>
  </si>
  <si>
    <t>Lycoming R-680</t>
  </si>
  <si>
    <t>O3U-1</t>
  </si>
  <si>
    <t>Corsair</t>
  </si>
  <si>
    <t>P&amp;W R-1340-C</t>
  </si>
  <si>
    <t>17,27</t>
  </si>
  <si>
    <t>Upper N-22, Lower G-398</t>
  </si>
  <si>
    <t>F4B-2</t>
  </si>
  <si>
    <t>Model 223</t>
  </si>
  <si>
    <t>P&amp;W R-1340-8</t>
  </si>
  <si>
    <t>19,29</t>
  </si>
  <si>
    <t>P-6E</t>
  </si>
  <si>
    <t>Curtiss V-1570-23</t>
  </si>
  <si>
    <t>Curtiss-Wright</t>
  </si>
  <si>
    <t>CW-1</t>
  </si>
  <si>
    <t>Szekely SR-3-0</t>
  </si>
  <si>
    <t>CR-1</t>
  </si>
  <si>
    <t>O-3B</t>
  </si>
  <si>
    <t>P&amp;W R-1690-B</t>
  </si>
  <si>
    <t>24</t>
  </si>
  <si>
    <t>Inline Cirrus</t>
  </si>
  <si>
    <t>LNB-4</t>
  </si>
  <si>
    <t>Parasol</t>
  </si>
  <si>
    <t>Heath B4</t>
  </si>
  <si>
    <t>ATC 456</t>
  </si>
  <si>
    <t>LC-DW-500</t>
  </si>
  <si>
    <t>Super Solution</t>
  </si>
  <si>
    <t>P&amp;W Wasp Jr X-27</t>
  </si>
  <si>
    <t>Won 1931 Bendix Trophy</t>
  </si>
  <si>
    <t>Model 9</t>
  </si>
  <si>
    <t>Orion</t>
  </si>
  <si>
    <t>P&amp;W Wasp SC</t>
  </si>
  <si>
    <t>Clark Y-18</t>
  </si>
  <si>
    <t>Clark Y-9.47</t>
  </si>
  <si>
    <t>ATC 421</t>
  </si>
  <si>
    <t>BM-1</t>
  </si>
  <si>
    <t>BM-2</t>
  </si>
  <si>
    <t>PA-8M</t>
  </si>
  <si>
    <t>Wright J6-9/P&amp;W Wasp</t>
  </si>
  <si>
    <t>Taylor</t>
  </si>
  <si>
    <t>E-2</t>
  </si>
  <si>
    <t>Cub</t>
  </si>
  <si>
    <t>Continental A-40-2</t>
  </si>
  <si>
    <t>3,15</t>
  </si>
  <si>
    <t>USA-35B</t>
  </si>
  <si>
    <t>QDC</t>
  </si>
  <si>
    <t>Continental</t>
  </si>
  <si>
    <t>Beechcraft</t>
  </si>
  <si>
    <t>Model 17R</t>
  </si>
  <si>
    <t>Staggerwing</t>
  </si>
  <si>
    <t>Wright R-975-E2</t>
  </si>
  <si>
    <t>1,4,8</t>
  </si>
  <si>
    <t>Fixed gear</t>
  </si>
  <si>
    <t>CR-2</t>
  </si>
  <si>
    <t>Warner Scarab (422 cu in)</t>
  </si>
  <si>
    <t>Best pylon speed 176.5 mph</t>
  </si>
  <si>
    <t>F9C-2</t>
  </si>
  <si>
    <t>Sparrowhawk</t>
  </si>
  <si>
    <t>Wright R-975-E3</t>
  </si>
  <si>
    <t>Clark YH</t>
  </si>
  <si>
    <t>Heinkel</t>
  </si>
  <si>
    <t>He 70</t>
  </si>
  <si>
    <t>BMW VI 12 cyl V6</t>
  </si>
  <si>
    <t>DGA-4</t>
  </si>
  <si>
    <t>Mike</t>
  </si>
  <si>
    <t>Menasco C-6-S Special</t>
  </si>
  <si>
    <t>DGA-5</t>
  </si>
  <si>
    <t>Ike</t>
  </si>
  <si>
    <t>NACA M06</t>
  </si>
  <si>
    <t>UEC</t>
  </si>
  <si>
    <t>Berliner-Joyce</t>
  </si>
  <si>
    <t>OJ-2</t>
  </si>
  <si>
    <t>P&amp;W R-985 Wasp Jr</t>
  </si>
  <si>
    <t>2,8</t>
  </si>
  <si>
    <t>XF7B-1</t>
  </si>
  <si>
    <t>P&amp;W R1340-30</t>
  </si>
  <si>
    <t>Boeing 112</t>
  </si>
  <si>
    <t>CR-2A</t>
  </si>
  <si>
    <t>Warner Scarab (499 cu in)</t>
  </si>
  <si>
    <t>Best pylon speed 202.88</t>
  </si>
  <si>
    <t>General Aviation Clark</t>
  </si>
  <si>
    <t>GA-43</t>
  </si>
  <si>
    <t>P&amp;W Hornet C</t>
  </si>
  <si>
    <t>Grumman</t>
  </si>
  <si>
    <t>FF-1</t>
  </si>
  <si>
    <t>Wright R-1820-78</t>
  </si>
  <si>
    <t>NACA CHY</t>
  </si>
  <si>
    <t>UIC</t>
  </si>
  <si>
    <t>C-3 Collegian</t>
  </si>
  <si>
    <t>E-113A</t>
  </si>
  <si>
    <t>A17F</t>
  </si>
  <si>
    <t>Wright R-1820-F11</t>
  </si>
  <si>
    <t>B-17L</t>
  </si>
  <si>
    <t>Jacobs L-4</t>
  </si>
  <si>
    <t>4,8</t>
  </si>
  <si>
    <t>XF3J-1</t>
  </si>
  <si>
    <t>P&amp;W XR1510-30</t>
  </si>
  <si>
    <t>O-38E</t>
  </si>
  <si>
    <t>P&amp;W R-1690-3</t>
  </si>
  <si>
    <t>24 C8C</t>
  </si>
  <si>
    <t>Warner Super Scarab</t>
  </si>
  <si>
    <t>DGA-6</t>
  </si>
  <si>
    <t>Mr Mulligan</t>
  </si>
  <si>
    <t>P&amp;W R-1340S1D</t>
  </si>
  <si>
    <t>NACA 2412</t>
  </si>
  <si>
    <t>SL Cruise 231 mph</t>
  </si>
  <si>
    <t>Luscombe</t>
  </si>
  <si>
    <t>D-145</t>
  </si>
  <si>
    <t>Vultee</t>
  </si>
  <si>
    <t>V-1A</t>
  </si>
  <si>
    <t>Wright R-1820-F2</t>
  </si>
  <si>
    <t>3,8</t>
  </si>
  <si>
    <t>Modified Clark Y</t>
  </si>
  <si>
    <t>UMF</t>
  </si>
  <si>
    <t>Continental W-670</t>
  </si>
  <si>
    <t>YMF</t>
  </si>
  <si>
    <t>C-3 Master</t>
  </si>
  <si>
    <t>E-113B</t>
  </si>
  <si>
    <t>LA</t>
  </si>
  <si>
    <t>LeBlond</t>
  </si>
  <si>
    <t>NACA 2218</t>
  </si>
  <si>
    <t>NACA 2209</t>
  </si>
  <si>
    <t>LB</t>
  </si>
  <si>
    <t>A17FS</t>
  </si>
  <si>
    <t>Wright SR-1820-F3</t>
  </si>
  <si>
    <t>C-34</t>
  </si>
  <si>
    <t>Hughes</t>
  </si>
  <si>
    <t>1B (Short Wing)</t>
  </si>
  <si>
    <t>P&amp;W SA1-G (R-1535)</t>
  </si>
  <si>
    <t>NACA 2418</t>
  </si>
  <si>
    <t>NACA 2409</t>
  </si>
  <si>
    <t>ST-A</t>
  </si>
  <si>
    <t>Menasco</t>
  </si>
  <si>
    <t>1,3</t>
  </si>
  <si>
    <t>YKC</t>
  </si>
  <si>
    <t>Jacobs</t>
  </si>
  <si>
    <t>Beech</t>
  </si>
  <si>
    <t>C17R</t>
  </si>
  <si>
    <t>Chance Vought</t>
  </si>
  <si>
    <t>SBU-1</t>
  </si>
  <si>
    <t>P&amp;W R-1535-80</t>
  </si>
  <si>
    <t>NACA CYH</t>
  </si>
  <si>
    <t>DGA-7</t>
  </si>
  <si>
    <t>DGA-8</t>
  </si>
  <si>
    <t>Wright R-760</t>
  </si>
  <si>
    <t>90A</t>
  </si>
  <si>
    <t>Lambert</t>
  </si>
  <si>
    <t>Seversky</t>
  </si>
  <si>
    <t>BT-8</t>
  </si>
  <si>
    <t>P&amp;W R-985-11</t>
  </si>
  <si>
    <t>SR-7B</t>
  </si>
  <si>
    <t>Reliant</t>
  </si>
  <si>
    <t>Lycoming R-680-B4</t>
  </si>
  <si>
    <t>SR-7C</t>
  </si>
  <si>
    <t>Lycoming R-680-B5</t>
  </si>
  <si>
    <t>Model K</t>
  </si>
  <si>
    <t>E-113C</t>
  </si>
  <si>
    <t>D17S</t>
  </si>
  <si>
    <t>C-37</t>
  </si>
  <si>
    <t>SBU-2</t>
  </si>
  <si>
    <t>P&amp;W R-1535-98</t>
  </si>
  <si>
    <t>P-36A</t>
  </si>
  <si>
    <t>P&amp;W R-1830-13</t>
  </si>
  <si>
    <t>NACA 2215</t>
  </si>
  <si>
    <t>DGA-12</t>
  </si>
  <si>
    <t>Jacobs L-6</t>
  </si>
  <si>
    <t>DGA-9</t>
  </si>
  <si>
    <t>Jacobs L-5</t>
  </si>
  <si>
    <t>1B (Long Wing)</t>
  </si>
  <si>
    <t>P&amp;W SA5-G (R-1535)</t>
  </si>
  <si>
    <t>NACA 23012</t>
  </si>
  <si>
    <t>NACA 23006</t>
  </si>
  <si>
    <t>Laird-Turner</t>
  </si>
  <si>
    <t>LTR-14</t>
  </si>
  <si>
    <t>Meteor</t>
  </si>
  <si>
    <t>P&amp;W S1B3-G</t>
  </si>
  <si>
    <t>Won Thompson Trophy 1938,1939</t>
  </si>
  <si>
    <t>North American</t>
  </si>
  <si>
    <t>O-47A</t>
  </si>
  <si>
    <t>NAA Model 25</t>
  </si>
  <si>
    <t>Wright R-1820-49</t>
  </si>
  <si>
    <t>NACA 2210</t>
  </si>
  <si>
    <t>Piper</t>
  </si>
  <si>
    <t>J-2</t>
  </si>
  <si>
    <t>Continental A-40-4</t>
  </si>
  <si>
    <t>J-3</t>
  </si>
  <si>
    <t>Continental A-65-8</t>
  </si>
  <si>
    <t>P-35</t>
  </si>
  <si>
    <t>P&amp;W R-1830-9</t>
  </si>
  <si>
    <t>Seversky Speical</t>
  </si>
  <si>
    <t>7-W</t>
  </si>
  <si>
    <t>Executive</t>
  </si>
  <si>
    <t>UPF-7</t>
  </si>
  <si>
    <t>Continental W670-6A</t>
  </si>
  <si>
    <t>YKS-6</t>
  </si>
  <si>
    <t>Arrowbile</t>
  </si>
  <si>
    <t>Flying Wing, Wing Detached Fuse was Roadable, max road speed 60 mph</t>
  </si>
  <si>
    <t>DGA 11</t>
  </si>
  <si>
    <t>8</t>
  </si>
  <si>
    <t>Continental A-50</t>
  </si>
  <si>
    <t>SC-W</t>
  </si>
  <si>
    <t>SR-10F</t>
  </si>
  <si>
    <t>M-62</t>
  </si>
  <si>
    <t>Cornell</t>
  </si>
  <si>
    <t>Ranger L-440-1</t>
  </si>
  <si>
    <t>NACA 2416</t>
  </si>
  <si>
    <t>NACA 4409</t>
  </si>
  <si>
    <t>DGA-15P</t>
  </si>
  <si>
    <t>P7W Wasp Jr</t>
  </si>
  <si>
    <t>Unknown</t>
  </si>
  <si>
    <t>ATC 717</t>
  </si>
  <si>
    <t>8A</t>
  </si>
  <si>
    <t>Continental A65</t>
  </si>
  <si>
    <t>AT-6D</t>
  </si>
  <si>
    <t>Texan</t>
  </si>
  <si>
    <t>P&amp;W R-1340-AN-1</t>
  </si>
  <si>
    <t>NACA 4412</t>
  </si>
  <si>
    <t>O-47B</t>
  </si>
  <si>
    <t>NA-51</t>
  </si>
  <si>
    <t>SRE</t>
  </si>
  <si>
    <t>MEL</t>
  </si>
  <si>
    <t>Twin-JN</t>
  </si>
  <si>
    <t>2x Curtiss OXX</t>
  </si>
  <si>
    <t>LWF</t>
  </si>
  <si>
    <t>Model H-1</t>
  </si>
  <si>
    <t>Owl</t>
  </si>
  <si>
    <t>3x Liberty 12</t>
  </si>
  <si>
    <t>USA 6</t>
  </si>
  <si>
    <t>NBS-1</t>
  </si>
  <si>
    <t>2x Liberty</t>
  </si>
  <si>
    <t>Albatros</t>
  </si>
  <si>
    <t>NBS-4</t>
  </si>
  <si>
    <t>Caproni</t>
  </si>
  <si>
    <t>Ca.73Bi.B</t>
  </si>
  <si>
    <t>2x Lorraine-Dietrich</t>
  </si>
  <si>
    <t>3x Wright J-5</t>
  </si>
  <si>
    <t>XLB-2</t>
  </si>
  <si>
    <t>2x P&amp;W R-1340</t>
  </si>
  <si>
    <t>XLB-5</t>
  </si>
  <si>
    <t>2x Liberty  V-1650-3</t>
  </si>
  <si>
    <t>Ford-Stout</t>
  </si>
  <si>
    <t>C-3</t>
  </si>
  <si>
    <t>Ford</t>
  </si>
  <si>
    <t>Keystone</t>
  </si>
  <si>
    <t>XLB-6</t>
  </si>
  <si>
    <t>2x Wright Cyclone</t>
  </si>
  <si>
    <t>Go 398</t>
  </si>
  <si>
    <t>B-2</t>
  </si>
  <si>
    <t>Condor</t>
  </si>
  <si>
    <t>2x Curtiss GV-1570 Conqueror</t>
  </si>
  <si>
    <t>Curtiss C-72</t>
  </si>
  <si>
    <t>Ca.90P.B</t>
  </si>
  <si>
    <t>B-20</t>
  </si>
  <si>
    <t>DeHavilland</t>
  </si>
  <si>
    <t>DH.84</t>
  </si>
  <si>
    <t>2x Gipsy Major</t>
  </si>
  <si>
    <t>2x P&amp;W Wasp</t>
  </si>
  <si>
    <t>Had Deicing System</t>
  </si>
  <si>
    <t>T-32</t>
  </si>
  <si>
    <t>2x SR-1820F-2</t>
  </si>
  <si>
    <t>NACA 4212</t>
  </si>
  <si>
    <t>DC-2</t>
  </si>
  <si>
    <t>DC-3</t>
  </si>
  <si>
    <t>10A</t>
  </si>
  <si>
    <t>Electra</t>
  </si>
  <si>
    <t>DH.86</t>
  </si>
  <si>
    <t>4x Gipsy Six</t>
  </si>
  <si>
    <t>Focke Wulf</t>
  </si>
  <si>
    <t>FW 200</t>
  </si>
  <si>
    <t>4x P&amp;W Hornet</t>
  </si>
  <si>
    <t>DH.91</t>
  </si>
  <si>
    <t>Albatross</t>
  </si>
  <si>
    <t>4x DH Gipsy Twelve</t>
  </si>
  <si>
    <t>T.V</t>
  </si>
  <si>
    <t>2x Bristol Pegasus XXVI</t>
  </si>
  <si>
    <t>NACA 23017</t>
  </si>
  <si>
    <t>NACA 23009</t>
  </si>
  <si>
    <t>XC-35</t>
  </si>
  <si>
    <t>Pressurized Cabin</t>
  </si>
  <si>
    <t>Savio Marchetti</t>
  </si>
  <si>
    <t>SM.75</t>
  </si>
  <si>
    <t>3x Alfa Romeo 126 RC.34</t>
  </si>
  <si>
    <t>Alcor</t>
  </si>
  <si>
    <t>C.6.1</t>
  </si>
  <si>
    <t>2x Menasco C6S-4</t>
  </si>
  <si>
    <t>Stratoliner</t>
  </si>
  <si>
    <t>4x Wright GR-1820-G-105A</t>
  </si>
  <si>
    <t>28,2</t>
  </si>
  <si>
    <t>NACA 0018</t>
  </si>
  <si>
    <t>NACA 0010</t>
  </si>
  <si>
    <t>Model 18</t>
  </si>
  <si>
    <t>2X P&amp;W R-985 Wasp Jr</t>
  </si>
  <si>
    <t>6 to 9</t>
  </si>
  <si>
    <t>535 or 910</t>
  </si>
  <si>
    <t>206 or 286</t>
  </si>
  <si>
    <t>NACA 23018</t>
  </si>
  <si>
    <t>SE Sea (and Amphibians)</t>
  </si>
  <si>
    <t>F-Boat</t>
  </si>
  <si>
    <t>Eiffel 77</t>
  </si>
  <si>
    <t>MF-6K</t>
  </si>
  <si>
    <t>Seagull</t>
  </si>
  <si>
    <t>Curtiss K-6</t>
  </si>
  <si>
    <t>USA No.1</t>
  </si>
  <si>
    <t>39B-Float</t>
  </si>
  <si>
    <t>OXX-6</t>
  </si>
  <si>
    <t>NW-2</t>
  </si>
  <si>
    <t>Wright T-2</t>
  </si>
  <si>
    <t>M-80</t>
  </si>
  <si>
    <t>F2W-2</t>
  </si>
  <si>
    <t>N-9 Modified</t>
  </si>
  <si>
    <t>Loening</t>
  </si>
  <si>
    <t>COA-1</t>
  </si>
  <si>
    <t>Liberty   V-1650-1</t>
  </si>
  <si>
    <t>Sikorsky</t>
  </si>
  <si>
    <t>S-39B</t>
  </si>
  <si>
    <t>P&amp;W R-985</t>
  </si>
  <si>
    <t>Sikorsky G.S.1</t>
  </si>
  <si>
    <t>Amphibian</t>
  </si>
  <si>
    <t>ME Sea (and Amphibians)</t>
  </si>
  <si>
    <t>F-5-L</t>
  </si>
  <si>
    <t>2x Liberty 12</t>
  </si>
  <si>
    <t>RAF-6</t>
  </si>
  <si>
    <t>Gallaudet</t>
  </si>
  <si>
    <t>D-1</t>
  </si>
  <si>
    <t>2x 4cyl Dusenberg Aero Engines</t>
  </si>
  <si>
    <t>P2Y-2</t>
  </si>
  <si>
    <t>2x Wright R-1820-90</t>
  </si>
  <si>
    <t>Gottingen 398</t>
  </si>
  <si>
    <t>Shorts</t>
  </si>
  <si>
    <t>S.23</t>
  </si>
  <si>
    <t>4x Pegasus</t>
  </si>
  <si>
    <t>4x Wright Cyclone</t>
  </si>
  <si>
    <t>G-44A</t>
  </si>
  <si>
    <t>Widgeon</t>
  </si>
  <si>
    <t>2x Ranger 6-440C-5</t>
  </si>
  <si>
    <t>NACA 23015</t>
  </si>
  <si>
    <t>Sources</t>
  </si>
  <si>
    <t>Szurovy</t>
  </si>
  <si>
    <t>Wing's of Yesteryear: The Golden Age of Private Aircraft</t>
  </si>
  <si>
    <t>Paul Matt</t>
  </si>
  <si>
    <t>Paul Matt's Scale Airplane Drawings: Volume 1</t>
  </si>
  <si>
    <t>Paul Matt's Scale Airplane Drawings: Volume 2</t>
  </si>
  <si>
    <t>Thomas Horne</t>
  </si>
  <si>
    <t>Article in AOPA Pilot - Oct 99</t>
  </si>
  <si>
    <t>xxxx</t>
  </si>
  <si>
    <t>Piper Book</t>
  </si>
  <si>
    <t>ATC 455</t>
  </si>
  <si>
    <t>FAA Online Database</t>
  </si>
  <si>
    <t>NACA TN 257</t>
  </si>
  <si>
    <t>Technical Preparation of the airplane "Spirit of St. Louis"</t>
  </si>
  <si>
    <t>Aerofiles</t>
  </si>
  <si>
    <t>www.aerofiles.com</t>
  </si>
  <si>
    <t>Barbara Hunter Schultz</t>
  </si>
  <si>
    <t>Pancho: The Biography of Florence Lowe Barnes</t>
  </si>
  <si>
    <t>Charles A. Lindbergh</t>
  </si>
  <si>
    <t>The Spirit of St. Louis</t>
  </si>
  <si>
    <t>List of ATC's</t>
  </si>
  <si>
    <t>Air Progress</t>
  </si>
  <si>
    <t>Feb 1970</t>
  </si>
  <si>
    <t>Mar 1970</t>
  </si>
  <si>
    <t>Air Racing Unlimited, Volume 1</t>
  </si>
  <si>
    <t>Mar 1988</t>
  </si>
  <si>
    <t>NACA Report 457</t>
  </si>
  <si>
    <t>Maneuverability Investigation of an O3U-1 Observation Aeroplane</t>
  </si>
  <si>
    <t>NACA Report 386</t>
  </si>
  <si>
    <t>Maneuverablity Investigation of an F6C-4 Fighting Aeroplane</t>
  </si>
  <si>
    <t>NACA Report 529</t>
  </si>
  <si>
    <t>A Flight Investigation of the Spinning of the F4B-2 Biplane with various loads and tail surfaces</t>
  </si>
  <si>
    <t>NACA Report 369</t>
  </si>
  <si>
    <t>Maneuverability Investigation of an F6C-3 Airplane with Special Flight Instruments</t>
  </si>
  <si>
    <t>NACA Report 17</t>
  </si>
  <si>
    <t>An Investigation of the elements which contribute to statical and dynamical stability and of the effects of variation in these elements.</t>
  </si>
  <si>
    <t>NACA Tech Note 118</t>
  </si>
  <si>
    <t>F-5-L Boat Seaplane - Performance Characteristics</t>
  </si>
  <si>
    <t>NACA Tech Note 147</t>
  </si>
  <si>
    <t>Speed measurements made by division 'a' of the airplane directorate (flugzeugmeisterei), subdivision for flight experiments</t>
  </si>
  <si>
    <t>NACA Tech Note 362</t>
  </si>
  <si>
    <t>Lift and Drag Characteristics of a Cabinm Monoplane Determined in Flight</t>
  </si>
  <si>
    <t>Air Corp Information Circular 629</t>
  </si>
  <si>
    <t>Determination of Structural Airplane Drag</t>
  </si>
  <si>
    <t>Fahey</t>
  </si>
  <si>
    <t>US Army Aircraft</t>
  </si>
  <si>
    <t>David Donald</t>
  </si>
  <si>
    <t>The complete encyclopedia of world aircraft</t>
  </si>
  <si>
    <t>Putnam's History of Aircraft</t>
  </si>
  <si>
    <t>Biplane to Monoplane: Aircraft Development 1919-39</t>
  </si>
  <si>
    <t>Enzo Angelucci and Peter Bowers</t>
  </si>
  <si>
    <t>The American Fighter: The Definitive Guide to American Fighter Aircraft from 1917 to the Present</t>
  </si>
  <si>
    <t>Heinz Nowarra</t>
  </si>
  <si>
    <t>Fokker Dr.I in action</t>
  </si>
  <si>
    <t>D. Edgar Brannon</t>
  </si>
  <si>
    <t>Fokker D.VII in action</t>
  </si>
  <si>
    <t>Air Age</t>
  </si>
  <si>
    <t>Scale Aircraft Drawings: Volume I</t>
  </si>
  <si>
    <t>Air Service Information Circular</t>
  </si>
  <si>
    <t>No 288, Official Performance test of fokker monoplane D-viii equipped with 110 hp oberursel engine</t>
  </si>
  <si>
    <t>NACA Tech Note 120</t>
  </si>
  <si>
    <t>A Preliminary Study of Airplane Performance</t>
  </si>
  <si>
    <t>Schmid &amp; Weaver (EAA Aviation Foundation)</t>
  </si>
  <si>
    <t>The Golden Age of Air Racing: pre 1940</t>
  </si>
  <si>
    <t>Aviation History</t>
  </si>
  <si>
    <t>Nov 2000</t>
  </si>
  <si>
    <t>Juptner</t>
  </si>
  <si>
    <t>US Civil Aircraft Vol 1</t>
  </si>
  <si>
    <t>Curtiss Aeroplane and Motor Corporation</t>
  </si>
  <si>
    <t>Curtiss Standard JN4-D Military Tractor Handbook, 1918</t>
  </si>
  <si>
    <t>Frank Kingston Smith</t>
  </si>
  <si>
    <t>Legacy of Wings: The Harold F Pitcairn Story</t>
  </si>
  <si>
    <t>Noel Allard</t>
  </si>
  <si>
    <t>Speed: The Biography of Charles W. Holman</t>
  </si>
  <si>
    <t>Bleriot</t>
  </si>
  <si>
    <t>XI</t>
  </si>
  <si>
    <t>Haywood</t>
  </si>
  <si>
    <t>Practical Aeronautics, 1912</t>
  </si>
  <si>
    <t>Arthur W Judge</t>
  </si>
  <si>
    <t>The design of Aeroplanes, 2nd edition 1917</t>
  </si>
  <si>
    <t>Last Updated 11-1-2002</t>
  </si>
  <si>
    <t>41,42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</si>
</sst>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64" fontId="0" fillId="0" borderId="0" xfId="0" applyNumberForma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330"/>
  <sheetViews>
    <sheetView tabSelected="1" showOutlineSymbols="0" zoomScale="70" zoomScaleNormal="70" workbookViewId="0" topLeftCell="A1">
      <pane xSplit="3" ySplit="3" topLeftCell="AE6" activePane="topRight" state="frozen"/>
      <selection pane="topLeft" activeCell="A88" sqref="A88"/>
      <selection pane="topRight" activeCell="AJ17" sqref="AJ17"/>
      <selection pane="bottomLeft" activeCell="A1" sqref="A1"/>
      <selection pane="bottomRight" activeCell="D77" sqref="D77"/>
    </sheetView>
  </sheetViews>
  <sheetFormatPr defaultColWidth="8.88671875" defaultRowHeight="15"/>
  <cols>
    <col min="1" max="1" width="5.6640625" style="0" customWidth="1"/>
    <col min="2" max="2" width="17.6640625" style="0" customWidth="1"/>
    <col min="3" max="4" width="12.6640625" style="0" customWidth="1"/>
    <col min="5" max="5" width="16.6640625" style="0" customWidth="1"/>
    <col min="6" max="9" width="9.6640625" style="0" customWidth="1"/>
    <col min="10" max="10" width="14.6640625" style="0" customWidth="1"/>
    <col min="11" max="13" width="9.6640625" style="0" customWidth="1"/>
    <col min="14" max="14" width="13.6640625" style="0" customWidth="1"/>
    <col min="15" max="15" width="12.6640625" style="0" customWidth="1"/>
    <col min="16" max="16" width="15.6640625" style="0" customWidth="1"/>
    <col min="17" max="19" width="9.6640625" style="0" customWidth="1"/>
    <col min="20" max="20" width="12.6640625" style="0" customWidth="1"/>
    <col min="21" max="21" width="14.6640625" style="0" customWidth="1"/>
    <col min="22" max="33" width="9.6640625" style="0" customWidth="1"/>
    <col min="34" max="34" width="11.6640625" style="0" customWidth="1"/>
    <col min="35" max="35" width="12.6640625" style="0" customWidth="1"/>
    <col min="36" max="36" width="9.6640625" style="0" customWidth="1"/>
    <col min="37" max="37" width="18.6640625" style="0" customWidth="1"/>
    <col min="38" max="42" width="9.6640625" style="0" customWidth="1"/>
    <col min="43" max="43" width="15.6640625" style="0" customWidth="1"/>
    <col min="44" max="44" width="13.6640625" style="0" customWidth="1"/>
    <col min="45" max="46" width="11.6640625" style="0" customWidth="1"/>
    <col min="47" max="16384" width="9.6640625" style="0" customWidth="1"/>
  </cols>
  <sheetData>
    <row r="1" spans="1:49" ht="15.75">
      <c r="A1" s="2" t="s">
        <v>0</v>
      </c>
      <c r="D1" s="3" t="s">
        <v>851</v>
      </c>
      <c r="AW1" s="3" t="s">
        <v>1</v>
      </c>
    </row>
    <row r="2" spans="29:49" ht="15">
      <c r="AC2" t="s">
        <v>2</v>
      </c>
      <c r="AW2" t="s">
        <v>3</v>
      </c>
    </row>
    <row r="3" spans="1:49" ht="15.75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  <c r="N3" s="6" t="s">
        <v>17</v>
      </c>
      <c r="O3" s="14" t="s">
        <v>18</v>
      </c>
      <c r="P3" s="14" t="s">
        <v>19</v>
      </c>
      <c r="Q3" s="6" t="s">
        <v>20</v>
      </c>
      <c r="R3" s="6" t="s">
        <v>21</v>
      </c>
      <c r="S3" s="6" t="s">
        <v>22</v>
      </c>
      <c r="T3" s="6" t="s">
        <v>23</v>
      </c>
      <c r="U3" s="6" t="s">
        <v>24</v>
      </c>
      <c r="V3" s="6" t="s">
        <v>25</v>
      </c>
      <c r="W3" s="6" t="s">
        <v>26</v>
      </c>
      <c r="X3" s="6" t="s">
        <v>27</v>
      </c>
      <c r="Y3" s="6" t="s">
        <v>28</v>
      </c>
      <c r="Z3" s="6" t="s">
        <v>29</v>
      </c>
      <c r="AA3" s="6" t="s">
        <v>30</v>
      </c>
      <c r="AB3" s="6" t="s">
        <v>31</v>
      </c>
      <c r="AC3" s="6" t="s">
        <v>32</v>
      </c>
      <c r="AD3" s="6" t="s">
        <v>33</v>
      </c>
      <c r="AE3" s="6" t="s">
        <v>34</v>
      </c>
      <c r="AF3" s="6" t="s">
        <v>35</v>
      </c>
      <c r="AG3" s="6" t="s">
        <v>36</v>
      </c>
      <c r="AH3" s="6" t="s">
        <v>37</v>
      </c>
      <c r="AI3" s="6" t="s">
        <v>38</v>
      </c>
      <c r="AJ3" s="6" t="s">
        <v>39</v>
      </c>
      <c r="AK3" s="6" t="s">
        <v>40</v>
      </c>
      <c r="AL3" s="6" t="s">
        <v>41</v>
      </c>
      <c r="AM3" s="6" t="s">
        <v>42</v>
      </c>
      <c r="AN3" s="6" t="s">
        <v>43</v>
      </c>
      <c r="AO3" s="7"/>
      <c r="AP3" s="7"/>
      <c r="AQ3" s="6" t="s">
        <v>44</v>
      </c>
      <c r="AR3" s="6" t="s">
        <v>45</v>
      </c>
      <c r="AS3" s="6" t="s">
        <v>46</v>
      </c>
      <c r="AT3" s="14" t="s">
        <v>47</v>
      </c>
      <c r="AU3" s="6" t="s">
        <v>48</v>
      </c>
      <c r="AV3" s="6" t="s">
        <v>49</v>
      </c>
      <c r="AW3" s="6" t="s">
        <v>50</v>
      </c>
    </row>
    <row r="4" spans="1:49" ht="15">
      <c r="A4" t="s">
        <v>51</v>
      </c>
      <c r="F4" t="s">
        <v>52</v>
      </c>
      <c r="H4" t="s">
        <v>53</v>
      </c>
      <c r="I4" t="s">
        <v>53</v>
      </c>
      <c r="J4" t="s">
        <v>53</v>
      </c>
      <c r="N4" t="s">
        <v>54</v>
      </c>
      <c r="O4" t="s">
        <v>55</v>
      </c>
      <c r="Q4" t="s">
        <v>56</v>
      </c>
      <c r="R4" t="s">
        <v>57</v>
      </c>
      <c r="S4" t="s">
        <v>58</v>
      </c>
      <c r="T4" t="s">
        <v>58</v>
      </c>
      <c r="U4" t="s">
        <v>59</v>
      </c>
      <c r="V4" t="s">
        <v>59</v>
      </c>
      <c r="W4" t="s">
        <v>59</v>
      </c>
      <c r="X4" t="s">
        <v>59</v>
      </c>
      <c r="Z4" t="s">
        <v>60</v>
      </c>
      <c r="AA4" t="s">
        <v>60</v>
      </c>
      <c r="AB4" t="s">
        <v>58</v>
      </c>
      <c r="AC4" t="s">
        <v>61</v>
      </c>
      <c r="AL4" t="s">
        <v>62</v>
      </c>
      <c r="AQ4" t="s">
        <v>63</v>
      </c>
      <c r="AR4" t="s">
        <v>64</v>
      </c>
      <c r="AS4" t="s">
        <v>65</v>
      </c>
      <c r="AT4" t="s">
        <v>66</v>
      </c>
      <c r="AU4" t="s">
        <v>67</v>
      </c>
      <c r="AW4" t="s">
        <v>61</v>
      </c>
    </row>
    <row r="6" spans="3:29" ht="15">
      <c r="C6" s="13"/>
      <c r="AC6" t="s">
        <v>68</v>
      </c>
    </row>
    <row r="7" ht="15">
      <c r="C7" s="13"/>
    </row>
    <row r="8" spans="1:3" ht="15.75">
      <c r="A8" s="1" t="s">
        <v>69</v>
      </c>
      <c r="C8" s="13"/>
    </row>
    <row r="9" spans="1:26" ht="15">
      <c r="A9" s="8"/>
      <c r="B9" s="10"/>
      <c r="C9" s="16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36" ht="15">
      <c r="A10" s="8"/>
      <c r="B10" s="8" t="s">
        <v>70</v>
      </c>
      <c r="C10" s="12" t="s">
        <v>71</v>
      </c>
      <c r="D10" s="10"/>
      <c r="E10" s="8"/>
      <c r="F10" s="8"/>
      <c r="G10" s="8"/>
      <c r="H10" s="8">
        <v>91.96</v>
      </c>
      <c r="I10" s="10"/>
      <c r="J10" s="10"/>
      <c r="K10" s="10"/>
      <c r="L10" s="10"/>
      <c r="M10" s="10"/>
      <c r="N10" s="10"/>
      <c r="O10" s="10"/>
      <c r="P10" s="10"/>
      <c r="Q10" s="8"/>
      <c r="R10" s="8"/>
      <c r="S10" s="10"/>
      <c r="T10" s="10"/>
      <c r="U10" s="10"/>
      <c r="V10" s="8"/>
      <c r="W10" s="8"/>
      <c r="X10" s="8"/>
      <c r="Y10" s="9"/>
      <c r="Z10" s="10"/>
      <c r="AJ10">
        <v>23</v>
      </c>
    </row>
    <row r="11" spans="1:36" ht="15">
      <c r="A11" s="8"/>
      <c r="B11" s="8" t="s">
        <v>72</v>
      </c>
      <c r="C11" s="15" t="s">
        <v>73</v>
      </c>
      <c r="D11" s="10"/>
      <c r="E11" s="8"/>
      <c r="F11" s="8"/>
      <c r="G11" s="8"/>
      <c r="H11" s="8">
        <v>100.04</v>
      </c>
      <c r="I11" s="10"/>
      <c r="J11" s="10"/>
      <c r="K11" s="10"/>
      <c r="L11" s="10"/>
      <c r="M11" s="10"/>
      <c r="N11" s="10"/>
      <c r="O11" s="10"/>
      <c r="P11" s="10"/>
      <c r="Q11" s="10"/>
      <c r="R11" s="10">
        <f>6.89*60</f>
        <v>413.4</v>
      </c>
      <c r="S11" s="10"/>
      <c r="T11" s="10"/>
      <c r="U11" s="10"/>
      <c r="V11" s="8"/>
      <c r="W11" s="8"/>
      <c r="X11" s="8"/>
      <c r="Y11" s="10"/>
      <c r="Z11" s="10"/>
      <c r="AJ11">
        <v>23</v>
      </c>
    </row>
    <row r="12" spans="2:36" ht="15">
      <c r="B12" t="s">
        <v>74</v>
      </c>
      <c r="C12" s="12" t="s">
        <v>75</v>
      </c>
      <c r="D12" t="s">
        <v>76</v>
      </c>
      <c r="E12" s="3" t="s">
        <v>77</v>
      </c>
      <c r="F12">
        <v>450</v>
      </c>
      <c r="G12">
        <v>5</v>
      </c>
      <c r="H12">
        <v>185</v>
      </c>
      <c r="Y12" s="17"/>
      <c r="AJ12">
        <v>28</v>
      </c>
    </row>
    <row r="13" spans="2:37" ht="15">
      <c r="B13" t="s">
        <v>78</v>
      </c>
      <c r="C13" s="12" t="s">
        <v>79</v>
      </c>
      <c r="H13">
        <v>92.58</v>
      </c>
      <c r="AJ13">
        <v>23</v>
      </c>
      <c r="AK13" s="3"/>
    </row>
    <row r="14" spans="2:38" ht="15">
      <c r="B14" s="3" t="s">
        <v>80</v>
      </c>
      <c r="C14" s="12" t="s">
        <v>81</v>
      </c>
      <c r="E14" s="3" t="s">
        <v>77</v>
      </c>
      <c r="F14">
        <v>435</v>
      </c>
      <c r="G14">
        <v>2</v>
      </c>
      <c r="H14">
        <v>138.2</v>
      </c>
      <c r="V14">
        <v>4104</v>
      </c>
      <c r="Y14" s="17"/>
      <c r="AB14">
        <f>39+9/12</f>
        <v>39.75</v>
      </c>
      <c r="AC14">
        <v>358.95</v>
      </c>
      <c r="AJ14" t="s">
        <v>82</v>
      </c>
      <c r="AK14" t="s">
        <v>83</v>
      </c>
      <c r="AL14" t="s">
        <v>84</v>
      </c>
    </row>
    <row r="15" spans="1:38" ht="15">
      <c r="A15" s="8">
        <v>1903</v>
      </c>
      <c r="B15" s="8" t="s">
        <v>85</v>
      </c>
      <c r="C15" s="15" t="s">
        <v>86</v>
      </c>
      <c r="D15" s="10"/>
      <c r="E15" s="8" t="s">
        <v>87</v>
      </c>
      <c r="F15" s="8">
        <v>12</v>
      </c>
      <c r="G15" s="8">
        <v>1</v>
      </c>
      <c r="H15" s="10"/>
      <c r="I15" s="10"/>
      <c r="J15" s="10"/>
      <c r="K15" s="10"/>
      <c r="L15" s="10"/>
      <c r="M15" s="10"/>
      <c r="N15" s="10"/>
      <c r="O15" s="8">
        <f>852/5280</f>
        <v>0.16136363636363638</v>
      </c>
      <c r="P15" s="10"/>
      <c r="Q15" s="8">
        <f>59/(60*60)</f>
        <v>0.01638888888888889</v>
      </c>
      <c r="R15" s="10"/>
      <c r="S15" s="10"/>
      <c r="T15" s="10"/>
      <c r="U15" s="10"/>
      <c r="V15" s="8">
        <v>750</v>
      </c>
      <c r="W15" s="10"/>
      <c r="X15" s="10"/>
      <c r="Y15" s="10"/>
      <c r="Z15" s="10"/>
      <c r="AB15">
        <f>19+(11+(15/16))/12+20+(4+(1/16))/12</f>
        <v>40.333333333333336</v>
      </c>
      <c r="AC15">
        <v>510</v>
      </c>
      <c r="AI15">
        <v>1</v>
      </c>
      <c r="AJ15">
        <v>3</v>
      </c>
      <c r="AL15" t="s">
        <v>84</v>
      </c>
    </row>
    <row r="16" spans="1:36" ht="15">
      <c r="A16" s="8">
        <v>1909</v>
      </c>
      <c r="B16" s="8" t="s">
        <v>845</v>
      </c>
      <c r="C16" s="15" t="s">
        <v>846</v>
      </c>
      <c r="D16" s="10"/>
      <c r="E16" s="8" t="s">
        <v>344</v>
      </c>
      <c r="F16" s="8">
        <v>23</v>
      </c>
      <c r="G16" s="8">
        <v>1</v>
      </c>
      <c r="H16" s="10">
        <v>36</v>
      </c>
      <c r="I16" s="10">
        <v>36</v>
      </c>
      <c r="J16" s="10"/>
      <c r="K16" s="10"/>
      <c r="L16" s="10"/>
      <c r="M16" s="10"/>
      <c r="N16" s="10"/>
      <c r="O16" s="8"/>
      <c r="P16" s="10"/>
      <c r="Q16" s="8"/>
      <c r="R16" s="10">
        <v>236</v>
      </c>
      <c r="S16" s="10"/>
      <c r="T16" s="10"/>
      <c r="U16" s="10"/>
      <c r="V16" s="8"/>
      <c r="W16" s="10"/>
      <c r="X16" s="10"/>
      <c r="Y16" s="10"/>
      <c r="Z16" s="10"/>
      <c r="AB16">
        <v>28.2</v>
      </c>
      <c r="AC16">
        <v>151</v>
      </c>
      <c r="AE16">
        <v>0</v>
      </c>
      <c r="AF16">
        <v>16</v>
      </c>
      <c r="AG16">
        <v>17</v>
      </c>
      <c r="AH16">
        <v>4.5</v>
      </c>
      <c r="AJ16" t="s">
        <v>852</v>
      </c>
    </row>
    <row r="17" spans="1:36" ht="15">
      <c r="A17" s="8">
        <v>1909</v>
      </c>
      <c r="B17" s="8" t="s">
        <v>845</v>
      </c>
      <c r="C17" s="15" t="s">
        <v>846</v>
      </c>
      <c r="D17" s="10"/>
      <c r="E17" s="8" t="s">
        <v>142</v>
      </c>
      <c r="F17" s="8">
        <v>50</v>
      </c>
      <c r="G17" s="8">
        <v>1</v>
      </c>
      <c r="H17" s="10">
        <v>48</v>
      </c>
      <c r="I17" s="10">
        <v>48</v>
      </c>
      <c r="J17" s="10"/>
      <c r="K17" s="10"/>
      <c r="L17" s="10"/>
      <c r="M17" s="10"/>
      <c r="N17" s="10"/>
      <c r="O17" s="8"/>
      <c r="P17" s="10"/>
      <c r="Q17" s="8"/>
      <c r="R17" s="10"/>
      <c r="S17" s="10"/>
      <c r="T17" s="10"/>
      <c r="U17" s="10"/>
      <c r="V17" s="8"/>
      <c r="W17" s="10"/>
      <c r="X17" s="10"/>
      <c r="Y17" s="10"/>
      <c r="Z17" s="10"/>
      <c r="AE17">
        <v>0</v>
      </c>
      <c r="AF17">
        <v>16</v>
      </c>
      <c r="AG17">
        <v>17</v>
      </c>
      <c r="AH17">
        <v>4.5</v>
      </c>
      <c r="AJ17" t="s">
        <v>852</v>
      </c>
    </row>
    <row r="18" spans="1:39" ht="15">
      <c r="A18" s="8">
        <v>1910</v>
      </c>
      <c r="B18" s="8" t="s">
        <v>88</v>
      </c>
      <c r="C18" s="15" t="s">
        <v>89</v>
      </c>
      <c r="D18" s="10"/>
      <c r="E18" s="8" t="s">
        <v>90</v>
      </c>
      <c r="F18" s="8">
        <v>25</v>
      </c>
      <c r="G18" s="8">
        <v>1</v>
      </c>
      <c r="H18" s="8">
        <v>42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8">
        <v>600</v>
      </c>
      <c r="W18" s="8">
        <v>370</v>
      </c>
      <c r="X18" s="8">
        <f>600-370</f>
        <v>230</v>
      </c>
      <c r="Y18" s="10"/>
      <c r="Z18" s="10"/>
      <c r="AB18">
        <f>18*2</f>
        <v>36</v>
      </c>
      <c r="AC18">
        <v>186</v>
      </c>
      <c r="AJ18">
        <v>3</v>
      </c>
      <c r="AL18" t="s">
        <v>84</v>
      </c>
      <c r="AM18" t="s">
        <v>91</v>
      </c>
    </row>
    <row r="19" spans="1:36" ht="15">
      <c r="A19" s="8">
        <v>1911</v>
      </c>
      <c r="B19" s="8" t="s">
        <v>92</v>
      </c>
      <c r="C19" s="15" t="s">
        <v>93</v>
      </c>
      <c r="D19" s="10"/>
      <c r="E19" s="8" t="s">
        <v>94</v>
      </c>
      <c r="F19" s="8">
        <v>30</v>
      </c>
      <c r="G19" s="8">
        <v>1</v>
      </c>
      <c r="H19" s="8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8"/>
      <c r="W19" s="8"/>
      <c r="X19" s="8"/>
      <c r="Y19" s="9">
        <v>7500</v>
      </c>
      <c r="Z19" s="10"/>
      <c r="AJ19">
        <v>1</v>
      </c>
    </row>
    <row r="20" spans="1:38" ht="15">
      <c r="A20">
        <v>1913</v>
      </c>
      <c r="B20" t="s">
        <v>95</v>
      </c>
      <c r="C20" s="12" t="s">
        <v>96</v>
      </c>
      <c r="E20" t="s">
        <v>97</v>
      </c>
      <c r="F20">
        <v>70</v>
      </c>
      <c r="G20">
        <v>1</v>
      </c>
      <c r="H20">
        <v>75</v>
      </c>
      <c r="I20">
        <v>60</v>
      </c>
      <c r="J20">
        <v>45</v>
      </c>
      <c r="O20" t="s">
        <v>91</v>
      </c>
      <c r="P20">
        <v>315</v>
      </c>
      <c r="R20">
        <v>200</v>
      </c>
      <c r="V20">
        <v>1290</v>
      </c>
      <c r="AB20">
        <f>38+4/12</f>
        <v>38.333333333333336</v>
      </c>
      <c r="AJ20">
        <v>2</v>
      </c>
      <c r="AK20" s="3" t="s">
        <v>98</v>
      </c>
      <c r="AL20" t="s">
        <v>84</v>
      </c>
    </row>
    <row r="21" spans="1:37" ht="15">
      <c r="A21">
        <v>1913</v>
      </c>
      <c r="B21" t="s">
        <v>99</v>
      </c>
      <c r="C21" s="12" t="s">
        <v>100</v>
      </c>
      <c r="E21" t="s">
        <v>101</v>
      </c>
      <c r="F21">
        <v>95</v>
      </c>
      <c r="G21">
        <v>2</v>
      </c>
      <c r="H21">
        <v>60</v>
      </c>
      <c r="V21">
        <v>950</v>
      </c>
      <c r="AB21">
        <f>46+8/12</f>
        <v>46.666666666666664</v>
      </c>
      <c r="AJ21">
        <v>2</v>
      </c>
      <c r="AK21" s="3"/>
    </row>
    <row r="22" spans="1:38" ht="15">
      <c r="A22">
        <v>1913</v>
      </c>
      <c r="B22" t="s">
        <v>102</v>
      </c>
      <c r="C22" s="12" t="s">
        <v>103</v>
      </c>
      <c r="E22" t="s">
        <v>104</v>
      </c>
      <c r="F22">
        <v>90</v>
      </c>
      <c r="G22">
        <v>2</v>
      </c>
      <c r="H22">
        <v>96</v>
      </c>
      <c r="I22">
        <v>80</v>
      </c>
      <c r="J22">
        <v>45</v>
      </c>
      <c r="R22">
        <v>350</v>
      </c>
      <c r="S22">
        <v>9500</v>
      </c>
      <c r="V22">
        <v>1720</v>
      </c>
      <c r="W22">
        <v>1320</v>
      </c>
      <c r="X22">
        <v>400</v>
      </c>
      <c r="Z22">
        <v>50</v>
      </c>
      <c r="AB22">
        <f>38+8/12</f>
        <v>38.666666666666664</v>
      </c>
      <c r="AC22">
        <v>379</v>
      </c>
      <c r="AJ22">
        <v>3</v>
      </c>
      <c r="AK22" s="3"/>
      <c r="AL22" t="s">
        <v>84</v>
      </c>
    </row>
    <row r="23" spans="1:38" ht="15">
      <c r="A23">
        <v>1915</v>
      </c>
      <c r="B23" t="s">
        <v>95</v>
      </c>
      <c r="C23" s="12" t="s">
        <v>105</v>
      </c>
      <c r="E23" t="s">
        <v>106</v>
      </c>
      <c r="F23">
        <v>90</v>
      </c>
      <c r="H23">
        <v>73</v>
      </c>
      <c r="K23">
        <v>41</v>
      </c>
      <c r="L23">
        <v>41</v>
      </c>
      <c r="M23">
        <v>47</v>
      </c>
      <c r="V23">
        <v>1800</v>
      </c>
      <c r="AB23">
        <v>36</v>
      </c>
      <c r="AC23">
        <v>364</v>
      </c>
      <c r="AE23">
        <v>42</v>
      </c>
      <c r="AG23">
        <v>7.8</v>
      </c>
      <c r="AJ23" t="s">
        <v>107</v>
      </c>
      <c r="AK23" s="3" t="s">
        <v>108</v>
      </c>
      <c r="AL23" t="s">
        <v>84</v>
      </c>
    </row>
    <row r="24" spans="1:37" ht="15">
      <c r="A24">
        <v>1916</v>
      </c>
      <c r="B24" t="s">
        <v>95</v>
      </c>
      <c r="C24" s="12" t="s">
        <v>109</v>
      </c>
      <c r="AI24">
        <v>620</v>
      </c>
      <c r="AJ24">
        <v>1</v>
      </c>
      <c r="AK24" s="3"/>
    </row>
    <row r="25" spans="1:38" ht="15">
      <c r="A25">
        <v>1916</v>
      </c>
      <c r="B25" t="s">
        <v>110</v>
      </c>
      <c r="C25" s="12" t="s">
        <v>111</v>
      </c>
      <c r="E25" t="s">
        <v>112</v>
      </c>
      <c r="F25">
        <v>150</v>
      </c>
      <c r="G25">
        <v>2</v>
      </c>
      <c r="H25">
        <v>90</v>
      </c>
      <c r="I25">
        <v>63</v>
      </c>
      <c r="Q25">
        <v>6</v>
      </c>
      <c r="V25">
        <v>2320</v>
      </c>
      <c r="W25">
        <v>1725</v>
      </c>
      <c r="X25">
        <v>595</v>
      </c>
      <c r="AB25">
        <f>39+8.5/12</f>
        <v>39.708333333333336</v>
      </c>
      <c r="AC25">
        <f>430+64.6</f>
        <v>494.6</v>
      </c>
      <c r="AD25">
        <v>64.6</v>
      </c>
      <c r="AJ25">
        <v>3</v>
      </c>
      <c r="AK25" s="3" t="s">
        <v>113</v>
      </c>
      <c r="AL25" t="s">
        <v>84</v>
      </c>
    </row>
    <row r="26" spans="1:37" ht="15">
      <c r="A26">
        <v>1917</v>
      </c>
      <c r="B26" t="s">
        <v>95</v>
      </c>
      <c r="C26" s="12" t="s">
        <v>114</v>
      </c>
      <c r="D26" t="s">
        <v>115</v>
      </c>
      <c r="E26" t="s">
        <v>106</v>
      </c>
      <c r="F26">
        <v>90</v>
      </c>
      <c r="G26">
        <v>2</v>
      </c>
      <c r="H26">
        <v>75</v>
      </c>
      <c r="I26">
        <v>65</v>
      </c>
      <c r="J26">
        <v>43</v>
      </c>
      <c r="R26">
        <f>3000/10</f>
        <v>300</v>
      </c>
      <c r="AB26">
        <f>43+7/12</f>
        <v>43.583333333333336</v>
      </c>
      <c r="AJ26">
        <v>40</v>
      </c>
      <c r="AK26" s="3"/>
    </row>
    <row r="27" spans="1:36" ht="15">
      <c r="A27">
        <v>1917</v>
      </c>
      <c r="B27" t="s">
        <v>95</v>
      </c>
      <c r="C27" s="12" t="s">
        <v>116</v>
      </c>
      <c r="D27" t="s">
        <v>115</v>
      </c>
      <c r="E27" s="3" t="s">
        <v>117</v>
      </c>
      <c r="F27">
        <v>90</v>
      </c>
      <c r="G27">
        <v>2</v>
      </c>
      <c r="H27">
        <v>75</v>
      </c>
      <c r="I27">
        <v>65</v>
      </c>
      <c r="J27">
        <v>40</v>
      </c>
      <c r="K27">
        <v>45</v>
      </c>
      <c r="L27">
        <v>45</v>
      </c>
      <c r="M27">
        <v>50</v>
      </c>
      <c r="O27">
        <v>160</v>
      </c>
      <c r="Q27">
        <f>21/9</f>
        <v>2.3333333333333335</v>
      </c>
      <c r="R27">
        <v>200</v>
      </c>
      <c r="V27">
        <v>1920</v>
      </c>
      <c r="W27">
        <v>1430</v>
      </c>
      <c r="X27">
        <v>490</v>
      </c>
      <c r="Y27" s="17">
        <v>3500</v>
      </c>
      <c r="Z27">
        <v>21</v>
      </c>
      <c r="AA27">
        <v>4</v>
      </c>
      <c r="AB27">
        <f>43+7.38/12</f>
        <v>43.615</v>
      </c>
      <c r="AC27">
        <v>352.56</v>
      </c>
      <c r="AD27">
        <v>35.2</v>
      </c>
      <c r="AE27">
        <v>28.7</v>
      </c>
      <c r="AF27">
        <v>22</v>
      </c>
      <c r="AG27">
        <v>3.8</v>
      </c>
      <c r="AH27">
        <v>12</v>
      </c>
      <c r="AJ27" s="3" t="s">
        <v>118</v>
      </c>
    </row>
    <row r="28" spans="1:38" ht="15">
      <c r="A28">
        <v>1917</v>
      </c>
      <c r="B28" t="s">
        <v>119</v>
      </c>
      <c r="C28" s="12" t="s">
        <v>120</v>
      </c>
      <c r="E28" s="3" t="s">
        <v>121</v>
      </c>
      <c r="F28">
        <v>110</v>
      </c>
      <c r="G28">
        <v>1</v>
      </c>
      <c r="H28">
        <v>105</v>
      </c>
      <c r="I28">
        <v>105</v>
      </c>
      <c r="O28">
        <v>185</v>
      </c>
      <c r="P28">
        <v>185</v>
      </c>
      <c r="R28">
        <v>1300</v>
      </c>
      <c r="S28">
        <v>23000</v>
      </c>
      <c r="V28">
        <v>1291</v>
      </c>
      <c r="W28">
        <v>894</v>
      </c>
      <c r="X28">
        <f>1291-894</f>
        <v>397</v>
      </c>
      <c r="Y28" s="17"/>
      <c r="AB28">
        <f>23+7/12</f>
        <v>23.583333333333332</v>
      </c>
      <c r="AI28">
        <v>320</v>
      </c>
      <c r="AJ28" t="s">
        <v>122</v>
      </c>
      <c r="AL28" t="s">
        <v>84</v>
      </c>
    </row>
    <row r="29" spans="1:38" ht="15">
      <c r="A29">
        <v>1917</v>
      </c>
      <c r="B29" t="s">
        <v>123</v>
      </c>
      <c r="C29" s="12" t="s">
        <v>124</v>
      </c>
      <c r="E29" t="s">
        <v>125</v>
      </c>
      <c r="F29">
        <v>150</v>
      </c>
      <c r="G29">
        <v>1</v>
      </c>
      <c r="H29">
        <v>93.95</v>
      </c>
      <c r="R29">
        <f>6.56*60</f>
        <v>393.59999999999997</v>
      </c>
      <c r="AB29">
        <f>26+8/12</f>
        <v>26.666666666666668</v>
      </c>
      <c r="AJ29" t="s">
        <v>126</v>
      </c>
      <c r="AK29" s="3"/>
      <c r="AL29" t="s">
        <v>84</v>
      </c>
    </row>
    <row r="30" spans="1:38" ht="15">
      <c r="A30">
        <v>1917</v>
      </c>
      <c r="B30" s="3" t="s">
        <v>127</v>
      </c>
      <c r="C30" s="12" t="s">
        <v>128</v>
      </c>
      <c r="E30" t="s">
        <v>129</v>
      </c>
      <c r="F30">
        <v>100</v>
      </c>
      <c r="G30">
        <v>2</v>
      </c>
      <c r="V30">
        <v>2300</v>
      </c>
      <c r="Y30" s="17"/>
      <c r="Z30">
        <v>30</v>
      </c>
      <c r="AA30">
        <v>3</v>
      </c>
      <c r="AB30">
        <f>43+10/12</f>
        <v>43.833333333333336</v>
      </c>
      <c r="AC30">
        <v>429</v>
      </c>
      <c r="AD30">
        <f>21*2</f>
        <v>42</v>
      </c>
      <c r="AJ30" t="s">
        <v>130</v>
      </c>
      <c r="AK30" t="s">
        <v>131</v>
      </c>
      <c r="AL30" t="s">
        <v>84</v>
      </c>
    </row>
    <row r="31" spans="1:40" ht="15">
      <c r="A31">
        <v>1917</v>
      </c>
      <c r="B31" s="3" t="s">
        <v>127</v>
      </c>
      <c r="C31" s="12" t="s">
        <v>132</v>
      </c>
      <c r="E31" s="3" t="s">
        <v>117</v>
      </c>
      <c r="F31">
        <v>9</v>
      </c>
      <c r="G31">
        <v>2</v>
      </c>
      <c r="V31">
        <v>2300</v>
      </c>
      <c r="Y31" s="17"/>
      <c r="Z31">
        <v>30</v>
      </c>
      <c r="AA31">
        <v>3</v>
      </c>
      <c r="AB31">
        <f>43+10/12</f>
        <v>43.833333333333336</v>
      </c>
      <c r="AC31">
        <v>429</v>
      </c>
      <c r="AD31">
        <f>21*2</f>
        <v>42</v>
      </c>
      <c r="AJ31" t="s">
        <v>130</v>
      </c>
      <c r="AK31" t="s">
        <v>131</v>
      </c>
      <c r="AL31" t="s">
        <v>84</v>
      </c>
      <c r="AN31" t="s">
        <v>133</v>
      </c>
    </row>
    <row r="32" spans="1:40" ht="15">
      <c r="A32">
        <v>1917</v>
      </c>
      <c r="B32" s="3" t="s">
        <v>127</v>
      </c>
      <c r="C32" s="12" t="s">
        <v>132</v>
      </c>
      <c r="E32" t="s">
        <v>134</v>
      </c>
      <c r="F32">
        <v>150</v>
      </c>
      <c r="G32">
        <v>2</v>
      </c>
      <c r="H32">
        <v>85</v>
      </c>
      <c r="I32">
        <v>68</v>
      </c>
      <c r="J32">
        <v>37</v>
      </c>
      <c r="V32">
        <v>2300</v>
      </c>
      <c r="W32">
        <v>1874</v>
      </c>
      <c r="X32">
        <v>426</v>
      </c>
      <c r="Y32" s="17"/>
      <c r="Z32">
        <v>30</v>
      </c>
      <c r="AA32">
        <v>3</v>
      </c>
      <c r="AB32">
        <f>43+10/12</f>
        <v>43.833333333333336</v>
      </c>
      <c r="AC32">
        <v>429</v>
      </c>
      <c r="AD32">
        <f>21*2</f>
        <v>42</v>
      </c>
      <c r="AJ32" t="s">
        <v>130</v>
      </c>
      <c r="AK32" t="s">
        <v>131</v>
      </c>
      <c r="AL32" t="s">
        <v>84</v>
      </c>
      <c r="AN32" t="s">
        <v>133</v>
      </c>
    </row>
    <row r="33" spans="1:40" ht="15">
      <c r="A33">
        <v>1917</v>
      </c>
      <c r="B33" s="3" t="s">
        <v>127</v>
      </c>
      <c r="C33" s="12" t="s">
        <v>132</v>
      </c>
      <c r="E33" t="s">
        <v>125</v>
      </c>
      <c r="F33">
        <v>150</v>
      </c>
      <c r="G33">
        <v>2</v>
      </c>
      <c r="H33">
        <v>72</v>
      </c>
      <c r="J33">
        <v>40</v>
      </c>
      <c r="V33">
        <v>1950</v>
      </c>
      <c r="W33">
        <v>1350</v>
      </c>
      <c r="Y33" s="17"/>
      <c r="AB33">
        <f>42+10/12</f>
        <v>42.833333333333336</v>
      </c>
      <c r="AC33">
        <v>429</v>
      </c>
      <c r="AD33">
        <v>42</v>
      </c>
      <c r="AJ33" t="s">
        <v>135</v>
      </c>
      <c r="AK33" t="s">
        <v>131</v>
      </c>
      <c r="AL33" t="s">
        <v>84</v>
      </c>
      <c r="AN33" t="s">
        <v>133</v>
      </c>
    </row>
    <row r="34" spans="1:38" ht="15">
      <c r="A34">
        <v>1918</v>
      </c>
      <c r="B34" t="s">
        <v>136</v>
      </c>
      <c r="C34" s="12" t="s">
        <v>137</v>
      </c>
      <c r="E34" s="3" t="s">
        <v>138</v>
      </c>
      <c r="F34">
        <v>100</v>
      </c>
      <c r="G34">
        <v>2</v>
      </c>
      <c r="H34">
        <v>78</v>
      </c>
      <c r="I34" t="s">
        <v>91</v>
      </c>
      <c r="J34">
        <v>48</v>
      </c>
      <c r="R34">
        <v>280</v>
      </c>
      <c r="S34">
        <v>8200</v>
      </c>
      <c r="V34">
        <v>2050</v>
      </c>
      <c r="W34">
        <v>1350</v>
      </c>
      <c r="X34">
        <v>700</v>
      </c>
      <c r="Y34" s="17"/>
      <c r="Z34">
        <v>38</v>
      </c>
      <c r="AA34">
        <v>3</v>
      </c>
      <c r="AB34">
        <v>47</v>
      </c>
      <c r="AJ34">
        <v>2</v>
      </c>
      <c r="AK34" t="s">
        <v>139</v>
      </c>
      <c r="AL34" t="s">
        <v>84</v>
      </c>
    </row>
    <row r="35" spans="1:38" ht="15">
      <c r="A35">
        <v>1918</v>
      </c>
      <c r="B35" t="s">
        <v>140</v>
      </c>
      <c r="C35" s="12" t="s">
        <v>141</v>
      </c>
      <c r="E35" t="s">
        <v>142</v>
      </c>
      <c r="F35">
        <v>100</v>
      </c>
      <c r="G35">
        <v>1</v>
      </c>
      <c r="H35">
        <v>115</v>
      </c>
      <c r="I35">
        <v>85</v>
      </c>
      <c r="J35">
        <v>54</v>
      </c>
      <c r="P35">
        <f>2.5*85</f>
        <v>212.5</v>
      </c>
      <c r="R35">
        <v>1100</v>
      </c>
      <c r="S35">
        <v>20000</v>
      </c>
      <c r="V35">
        <v>1190</v>
      </c>
      <c r="W35">
        <v>820</v>
      </c>
      <c r="X35">
        <v>370</v>
      </c>
      <c r="Y35" s="17"/>
      <c r="Z35">
        <v>30</v>
      </c>
      <c r="AA35">
        <v>7</v>
      </c>
      <c r="AB35">
        <v>26</v>
      </c>
      <c r="AC35">
        <v>184.5</v>
      </c>
      <c r="AJ35">
        <v>2</v>
      </c>
      <c r="AK35" t="s">
        <v>108</v>
      </c>
      <c r="AL35" t="s">
        <v>84</v>
      </c>
    </row>
    <row r="36" spans="1:38" ht="15">
      <c r="A36">
        <v>1918</v>
      </c>
      <c r="B36" t="s">
        <v>95</v>
      </c>
      <c r="C36" s="12" t="s">
        <v>143</v>
      </c>
      <c r="D36" t="s">
        <v>115</v>
      </c>
      <c r="E36" s="3" t="s">
        <v>144</v>
      </c>
      <c r="F36">
        <v>150</v>
      </c>
      <c r="G36">
        <v>2</v>
      </c>
      <c r="H36">
        <v>86</v>
      </c>
      <c r="U36">
        <v>2250</v>
      </c>
      <c r="V36">
        <v>2150</v>
      </c>
      <c r="Y36" s="17"/>
      <c r="AB36">
        <f>43+7.5/12</f>
        <v>43.625</v>
      </c>
      <c r="AC36">
        <v>350</v>
      </c>
      <c r="AI36">
        <v>402</v>
      </c>
      <c r="AJ36">
        <v>34.26</v>
      </c>
      <c r="AK36" t="s">
        <v>108</v>
      </c>
      <c r="AL36" t="s">
        <v>84</v>
      </c>
    </row>
    <row r="37" spans="1:38" ht="15">
      <c r="A37">
        <v>1918</v>
      </c>
      <c r="B37" t="s">
        <v>119</v>
      </c>
      <c r="C37" s="12" t="s">
        <v>145</v>
      </c>
      <c r="E37" t="s">
        <v>146</v>
      </c>
      <c r="F37">
        <v>160</v>
      </c>
      <c r="G37">
        <v>1</v>
      </c>
      <c r="H37">
        <v>118</v>
      </c>
      <c r="AB37">
        <f>22+3.5/12</f>
        <v>22.291666666666668</v>
      </c>
      <c r="AJ37" t="s">
        <v>147</v>
      </c>
      <c r="AK37" s="3"/>
      <c r="AL37" t="s">
        <v>84</v>
      </c>
    </row>
    <row r="38" spans="1:38" ht="15">
      <c r="A38">
        <v>1918</v>
      </c>
      <c r="B38" t="s">
        <v>119</v>
      </c>
      <c r="C38" s="12" t="s">
        <v>148</v>
      </c>
      <c r="E38" t="s">
        <v>149</v>
      </c>
      <c r="F38">
        <v>110</v>
      </c>
      <c r="G38">
        <v>1</v>
      </c>
      <c r="H38">
        <v>115.2</v>
      </c>
      <c r="I38">
        <v>115.2</v>
      </c>
      <c r="J38">
        <v>55</v>
      </c>
      <c r="K38">
        <v>59</v>
      </c>
      <c r="L38">
        <v>59</v>
      </c>
      <c r="R38">
        <v>1500</v>
      </c>
      <c r="S38">
        <v>20650</v>
      </c>
      <c r="T38">
        <v>22100</v>
      </c>
      <c r="V38">
        <v>1238</v>
      </c>
      <c r="W38">
        <v>848</v>
      </c>
      <c r="X38">
        <f>1238-848</f>
        <v>390</v>
      </c>
      <c r="Z38">
        <f>113/5.88</f>
        <v>19.217687074829932</v>
      </c>
      <c r="AA38">
        <f>23/7.5</f>
        <v>3.066666666666667</v>
      </c>
      <c r="AB38">
        <f>27+7/12</f>
        <v>27.583333333333332</v>
      </c>
      <c r="AC38">
        <v>108</v>
      </c>
      <c r="AD38">
        <f>2*(5+2.125/12)*(10.38/12)</f>
        <v>8.956354166666667</v>
      </c>
      <c r="AJ38">
        <v>33</v>
      </c>
      <c r="AK38" s="3"/>
      <c r="AL38" t="s">
        <v>84</v>
      </c>
    </row>
    <row r="39" spans="1:38" ht="15">
      <c r="A39">
        <v>1918</v>
      </c>
      <c r="B39" t="s">
        <v>150</v>
      </c>
      <c r="C39" s="12" t="s">
        <v>151</v>
      </c>
      <c r="E39" t="s">
        <v>152</v>
      </c>
      <c r="F39">
        <v>435</v>
      </c>
      <c r="G39">
        <v>2</v>
      </c>
      <c r="H39">
        <v>134</v>
      </c>
      <c r="I39">
        <v>90</v>
      </c>
      <c r="J39">
        <v>50</v>
      </c>
      <c r="Q39">
        <v>4</v>
      </c>
      <c r="R39">
        <f>10000/9.333</f>
        <v>1071.4668381013607</v>
      </c>
      <c r="S39">
        <v>24000</v>
      </c>
      <c r="V39">
        <v>4023</v>
      </c>
      <c r="W39">
        <v>2675</v>
      </c>
      <c r="X39">
        <f>4023-2675</f>
        <v>1348</v>
      </c>
      <c r="Y39" s="17"/>
      <c r="Z39">
        <v>90</v>
      </c>
      <c r="AA39">
        <v>6</v>
      </c>
      <c r="AB39">
        <f>41+7.5/12</f>
        <v>41.625</v>
      </c>
      <c r="AC39">
        <v>516</v>
      </c>
      <c r="AJ39">
        <v>3</v>
      </c>
      <c r="AK39" t="s">
        <v>153</v>
      </c>
      <c r="AL39" t="s">
        <v>84</v>
      </c>
    </row>
    <row r="40" spans="1:38" ht="15">
      <c r="A40">
        <v>1918</v>
      </c>
      <c r="B40" t="s">
        <v>154</v>
      </c>
      <c r="C40" s="12" t="s">
        <v>155</v>
      </c>
      <c r="E40" t="s">
        <v>152</v>
      </c>
      <c r="G40">
        <v>2</v>
      </c>
      <c r="H40">
        <v>132</v>
      </c>
      <c r="I40">
        <v>112</v>
      </c>
      <c r="J40">
        <v>50</v>
      </c>
      <c r="Q40">
        <v>5</v>
      </c>
      <c r="S40">
        <v>23000</v>
      </c>
      <c r="V40">
        <v>3655</v>
      </c>
      <c r="W40">
        <v>2468</v>
      </c>
      <c r="X40">
        <f>3655-2468</f>
        <v>1187</v>
      </c>
      <c r="Y40" s="17"/>
      <c r="AB40">
        <f>39+1/48</f>
        <v>39.020833333333336</v>
      </c>
      <c r="AC40">
        <v>415.6</v>
      </c>
      <c r="AI40">
        <f>(29-13)+(41-29)</f>
        <v>28</v>
      </c>
      <c r="AJ40">
        <v>3</v>
      </c>
      <c r="AL40" t="s">
        <v>84</v>
      </c>
    </row>
    <row r="41" spans="1:38" ht="15">
      <c r="A41" s="8">
        <v>1918</v>
      </c>
      <c r="B41" s="8" t="s">
        <v>156</v>
      </c>
      <c r="C41" s="15" t="s">
        <v>157</v>
      </c>
      <c r="D41" s="10"/>
      <c r="E41" s="8"/>
      <c r="F41" s="8">
        <v>180</v>
      </c>
      <c r="G41" s="8">
        <v>1</v>
      </c>
      <c r="H41" s="10">
        <v>92.58</v>
      </c>
      <c r="I41" s="10"/>
      <c r="J41" s="10"/>
      <c r="K41" s="10"/>
      <c r="L41" s="10"/>
      <c r="M41" s="10"/>
      <c r="N41" s="10"/>
      <c r="O41" s="8"/>
      <c r="P41" s="10"/>
      <c r="Q41" s="8"/>
      <c r="R41" s="10">
        <f>6.4*60</f>
        <v>384</v>
      </c>
      <c r="S41" s="10"/>
      <c r="T41" s="10"/>
      <c r="U41" s="10"/>
      <c r="V41" s="8"/>
      <c r="W41" s="10"/>
      <c r="X41" s="10"/>
      <c r="Y41" s="10"/>
      <c r="Z41" s="10"/>
      <c r="AB41">
        <f>30+10.5/12</f>
        <v>30.875</v>
      </c>
      <c r="AJ41" t="s">
        <v>126</v>
      </c>
      <c r="AL41" t="s">
        <v>84</v>
      </c>
    </row>
    <row r="42" spans="1:38" ht="15">
      <c r="A42">
        <v>1918</v>
      </c>
      <c r="B42" t="s">
        <v>158</v>
      </c>
      <c r="C42" s="12" t="s">
        <v>159</v>
      </c>
      <c r="E42" s="3" t="s">
        <v>144</v>
      </c>
      <c r="F42">
        <v>150</v>
      </c>
      <c r="G42">
        <v>2</v>
      </c>
      <c r="H42">
        <v>106</v>
      </c>
      <c r="V42">
        <v>1937</v>
      </c>
      <c r="Y42" s="17"/>
      <c r="AB42">
        <f>34+4/12</f>
        <v>34.333333333333336</v>
      </c>
      <c r="AC42">
        <v>285</v>
      </c>
      <c r="AI42">
        <v>14</v>
      </c>
      <c r="AJ42">
        <v>26</v>
      </c>
      <c r="AL42" t="s">
        <v>84</v>
      </c>
    </row>
    <row r="43" spans="1:38" ht="15">
      <c r="A43">
        <v>1919</v>
      </c>
      <c r="B43" t="s">
        <v>160</v>
      </c>
      <c r="C43" s="12" t="s">
        <v>161</v>
      </c>
      <c r="E43" t="s">
        <v>162</v>
      </c>
      <c r="F43">
        <v>300</v>
      </c>
      <c r="G43">
        <v>1</v>
      </c>
      <c r="H43">
        <v>141</v>
      </c>
      <c r="I43">
        <v>125</v>
      </c>
      <c r="J43">
        <v>55</v>
      </c>
      <c r="R43">
        <v>1230</v>
      </c>
      <c r="S43">
        <v>19500</v>
      </c>
      <c r="V43">
        <v>2539</v>
      </c>
      <c r="W43">
        <v>1716</v>
      </c>
      <c r="X43">
        <v>823</v>
      </c>
      <c r="Y43" s="17"/>
      <c r="AB43">
        <v>26</v>
      </c>
      <c r="AI43">
        <v>200</v>
      </c>
      <c r="AJ43">
        <v>3</v>
      </c>
      <c r="AL43" t="s">
        <v>84</v>
      </c>
    </row>
    <row r="44" spans="1:40" ht="15">
      <c r="A44">
        <v>1919</v>
      </c>
      <c r="B44" t="s">
        <v>163</v>
      </c>
      <c r="C44" s="12" t="s">
        <v>164</v>
      </c>
      <c r="E44" s="3" t="s">
        <v>165</v>
      </c>
      <c r="F44">
        <v>180</v>
      </c>
      <c r="G44">
        <v>2</v>
      </c>
      <c r="H44">
        <v>126</v>
      </c>
      <c r="V44">
        <v>2050</v>
      </c>
      <c r="Y44" s="17"/>
      <c r="AB44">
        <f>34+((3/16)+1)/12</f>
        <v>34.098958333333336</v>
      </c>
      <c r="AC44">
        <f>2050/7.2</f>
        <v>284.72222222222223</v>
      </c>
      <c r="AI44">
        <v>2</v>
      </c>
      <c r="AJ44" t="s">
        <v>166</v>
      </c>
      <c r="AL44" t="s">
        <v>84</v>
      </c>
      <c r="AN44" t="s">
        <v>167</v>
      </c>
    </row>
    <row r="45" spans="1:38" ht="15">
      <c r="A45">
        <v>1919</v>
      </c>
      <c r="B45" s="3" t="s">
        <v>168</v>
      </c>
      <c r="C45" s="12" t="s">
        <v>169</v>
      </c>
      <c r="D45" t="s">
        <v>170</v>
      </c>
      <c r="E45" s="3" t="s">
        <v>171</v>
      </c>
      <c r="F45">
        <v>300</v>
      </c>
      <c r="G45">
        <v>1</v>
      </c>
      <c r="H45">
        <v>154</v>
      </c>
      <c r="V45">
        <v>2669</v>
      </c>
      <c r="Y45" s="17"/>
      <c r="AB45">
        <v>32</v>
      </c>
      <c r="AC45">
        <v>285.5</v>
      </c>
      <c r="AI45">
        <v>2</v>
      </c>
      <c r="AJ45" t="s">
        <v>82</v>
      </c>
      <c r="AK45" t="s">
        <v>172</v>
      </c>
      <c r="AL45" t="s">
        <v>84</v>
      </c>
    </row>
    <row r="46" spans="1:38" ht="15">
      <c r="A46">
        <v>1919</v>
      </c>
      <c r="B46" t="s">
        <v>173</v>
      </c>
      <c r="C46" s="12" t="s">
        <v>174</v>
      </c>
      <c r="D46" t="s">
        <v>175</v>
      </c>
      <c r="E46" t="s">
        <v>176</v>
      </c>
      <c r="F46">
        <v>72</v>
      </c>
      <c r="G46">
        <v>1</v>
      </c>
      <c r="H46">
        <v>72</v>
      </c>
      <c r="I46">
        <v>60</v>
      </c>
      <c r="J46">
        <v>30</v>
      </c>
      <c r="P46">
        <v>240</v>
      </c>
      <c r="R46">
        <f>4800/10</f>
        <v>480</v>
      </c>
      <c r="V46">
        <v>978</v>
      </c>
      <c r="W46">
        <v>595</v>
      </c>
      <c r="X46">
        <v>383</v>
      </c>
      <c r="Y46" s="17"/>
      <c r="Z46">
        <v>12</v>
      </c>
      <c r="AB46">
        <f>29+9/12</f>
        <v>29.75</v>
      </c>
      <c r="AC46">
        <v>187</v>
      </c>
      <c r="AJ46">
        <v>3</v>
      </c>
      <c r="AK46" t="s">
        <v>177</v>
      </c>
      <c r="AL46" t="s">
        <v>84</v>
      </c>
    </row>
    <row r="47" spans="1:38" ht="15">
      <c r="A47">
        <v>1919</v>
      </c>
      <c r="B47" t="s">
        <v>80</v>
      </c>
      <c r="C47" s="12" t="s">
        <v>178</v>
      </c>
      <c r="E47" t="s">
        <v>179</v>
      </c>
      <c r="F47">
        <v>300</v>
      </c>
      <c r="G47">
        <v>1</v>
      </c>
      <c r="H47">
        <v>146</v>
      </c>
      <c r="V47">
        <v>2548</v>
      </c>
      <c r="Y47" s="17"/>
      <c r="AB47">
        <v>26</v>
      </c>
      <c r="AC47">
        <v>246.95</v>
      </c>
      <c r="AI47">
        <f>4+35+15</f>
        <v>54</v>
      </c>
      <c r="AJ47" t="s">
        <v>180</v>
      </c>
      <c r="AK47" t="s">
        <v>172</v>
      </c>
      <c r="AL47" t="s">
        <v>84</v>
      </c>
    </row>
    <row r="48" spans="1:38" ht="15">
      <c r="A48">
        <v>1920</v>
      </c>
      <c r="B48" t="s">
        <v>181</v>
      </c>
      <c r="C48" s="12" t="s">
        <v>182</v>
      </c>
      <c r="E48" t="s">
        <v>183</v>
      </c>
      <c r="F48">
        <v>400</v>
      </c>
      <c r="G48">
        <v>1</v>
      </c>
      <c r="H48">
        <v>190</v>
      </c>
      <c r="J48">
        <v>100</v>
      </c>
      <c r="V48">
        <v>2407</v>
      </c>
      <c r="W48">
        <v>1816</v>
      </c>
      <c r="X48">
        <v>591</v>
      </c>
      <c r="Y48" s="17"/>
      <c r="Z48">
        <v>40</v>
      </c>
      <c r="AA48">
        <v>8</v>
      </c>
      <c r="AB48">
        <v>25</v>
      </c>
      <c r="AI48">
        <v>1</v>
      </c>
      <c r="AJ48">
        <v>2</v>
      </c>
      <c r="AK48" t="s">
        <v>184</v>
      </c>
      <c r="AL48" t="s">
        <v>84</v>
      </c>
    </row>
    <row r="49" spans="1:36" ht="15">
      <c r="A49">
        <v>1920</v>
      </c>
      <c r="B49" t="s">
        <v>185</v>
      </c>
      <c r="C49" s="12" t="s">
        <v>186</v>
      </c>
      <c r="E49" t="s">
        <v>117</v>
      </c>
      <c r="F49">
        <v>90</v>
      </c>
      <c r="G49">
        <v>3</v>
      </c>
      <c r="Y49" s="17"/>
      <c r="AJ49">
        <v>1</v>
      </c>
    </row>
    <row r="50" spans="1:36" ht="15">
      <c r="A50">
        <v>1920</v>
      </c>
      <c r="B50" t="s">
        <v>187</v>
      </c>
      <c r="C50" s="12" t="s">
        <v>188</v>
      </c>
      <c r="E50" t="s">
        <v>189</v>
      </c>
      <c r="F50">
        <v>28</v>
      </c>
      <c r="Y50" s="17">
        <v>1200</v>
      </c>
      <c r="AI50">
        <v>1</v>
      </c>
      <c r="AJ50">
        <v>1</v>
      </c>
    </row>
    <row r="51" spans="1:38" ht="15">
      <c r="A51">
        <v>1921</v>
      </c>
      <c r="B51" t="s">
        <v>187</v>
      </c>
      <c r="C51" s="12" t="s">
        <v>190</v>
      </c>
      <c r="G51">
        <v>3</v>
      </c>
      <c r="Y51" s="17"/>
      <c r="AJ51">
        <v>1</v>
      </c>
      <c r="AK51" t="s">
        <v>191</v>
      </c>
      <c r="AL51" t="s">
        <v>84</v>
      </c>
    </row>
    <row r="52" spans="1:38" ht="15">
      <c r="A52">
        <v>1921</v>
      </c>
      <c r="B52" t="s">
        <v>192</v>
      </c>
      <c r="C52" s="12" t="s">
        <v>193</v>
      </c>
      <c r="D52" t="s">
        <v>194</v>
      </c>
      <c r="E52" t="s">
        <v>117</v>
      </c>
      <c r="F52">
        <v>90</v>
      </c>
      <c r="G52">
        <v>1</v>
      </c>
      <c r="H52">
        <v>136</v>
      </c>
      <c r="I52">
        <v>110</v>
      </c>
      <c r="J52">
        <v>60</v>
      </c>
      <c r="P52">
        <v>135</v>
      </c>
      <c r="V52">
        <v>1130</v>
      </c>
      <c r="W52">
        <v>885</v>
      </c>
      <c r="X52">
        <v>245</v>
      </c>
      <c r="Y52" s="17"/>
      <c r="Z52">
        <v>10</v>
      </c>
      <c r="AA52">
        <v>3</v>
      </c>
      <c r="AB52">
        <f>21+9/12</f>
        <v>21.75</v>
      </c>
      <c r="AC52">
        <v>112</v>
      </c>
      <c r="AJ52">
        <v>3</v>
      </c>
      <c r="AK52" t="s">
        <v>195</v>
      </c>
      <c r="AL52" t="s">
        <v>84</v>
      </c>
    </row>
    <row r="53" spans="1:38" ht="15">
      <c r="A53">
        <v>1922</v>
      </c>
      <c r="B53" t="s">
        <v>95</v>
      </c>
      <c r="C53" s="12" t="s">
        <v>196</v>
      </c>
      <c r="E53" s="3" t="s">
        <v>197</v>
      </c>
      <c r="F53">
        <v>460</v>
      </c>
      <c r="G53">
        <v>1</v>
      </c>
      <c r="H53">
        <v>240</v>
      </c>
      <c r="J53">
        <v>75</v>
      </c>
      <c r="V53">
        <v>2110</v>
      </c>
      <c r="W53">
        <v>1624</v>
      </c>
      <c r="X53">
        <v>486</v>
      </c>
      <c r="Y53" s="17"/>
      <c r="Z53">
        <v>48</v>
      </c>
      <c r="AA53">
        <v>4</v>
      </c>
      <c r="AB53">
        <v>19</v>
      </c>
      <c r="AC53">
        <v>135.91</v>
      </c>
      <c r="AJ53">
        <v>2</v>
      </c>
      <c r="AK53" t="s">
        <v>198</v>
      </c>
      <c r="AL53" t="s">
        <v>84</v>
      </c>
    </row>
    <row r="54" spans="1:38" ht="15">
      <c r="A54">
        <v>1922</v>
      </c>
      <c r="B54" t="s">
        <v>199</v>
      </c>
      <c r="C54" s="12" t="s">
        <v>200</v>
      </c>
      <c r="E54" s="3" t="s">
        <v>201</v>
      </c>
      <c r="F54">
        <v>650</v>
      </c>
      <c r="G54">
        <v>1</v>
      </c>
      <c r="H54">
        <v>209</v>
      </c>
      <c r="J54">
        <v>71.2</v>
      </c>
      <c r="V54">
        <v>3000</v>
      </c>
      <c r="W54">
        <v>2480</v>
      </c>
      <c r="X54">
        <v>520</v>
      </c>
      <c r="Y54" s="17"/>
      <c r="Z54">
        <v>56</v>
      </c>
      <c r="AA54">
        <v>4</v>
      </c>
      <c r="AB54">
        <v>30.5</v>
      </c>
      <c r="AC54">
        <v>180</v>
      </c>
      <c r="AJ54">
        <v>3</v>
      </c>
      <c r="AK54" t="s">
        <v>202</v>
      </c>
      <c r="AL54" t="s">
        <v>84</v>
      </c>
    </row>
    <row r="55" spans="1:38" ht="15">
      <c r="A55">
        <v>1922</v>
      </c>
      <c r="B55" s="3" t="s">
        <v>158</v>
      </c>
      <c r="C55" s="12" t="s">
        <v>203</v>
      </c>
      <c r="D55" t="s">
        <v>204</v>
      </c>
      <c r="E55" s="3" t="s">
        <v>205</v>
      </c>
      <c r="F55">
        <v>195</v>
      </c>
      <c r="G55">
        <v>2</v>
      </c>
      <c r="H55">
        <v>124</v>
      </c>
      <c r="V55">
        <v>2269</v>
      </c>
      <c r="Y55" s="17"/>
      <c r="AB55">
        <f>34+5.5/12</f>
        <v>34.458333333333336</v>
      </c>
      <c r="AC55">
        <v>283.75</v>
      </c>
      <c r="AI55">
        <v>27</v>
      </c>
      <c r="AJ55" t="s">
        <v>82</v>
      </c>
      <c r="AK55" t="s">
        <v>195</v>
      </c>
      <c r="AL55" t="s">
        <v>84</v>
      </c>
    </row>
    <row r="56" spans="1:38" ht="15">
      <c r="A56">
        <v>1923</v>
      </c>
      <c r="B56" s="3" t="s">
        <v>206</v>
      </c>
      <c r="C56" s="12" t="s">
        <v>207</v>
      </c>
      <c r="E56" s="3" t="s">
        <v>208</v>
      </c>
      <c r="F56">
        <v>791</v>
      </c>
      <c r="G56">
        <v>3</v>
      </c>
      <c r="H56">
        <v>121</v>
      </c>
      <c r="V56">
        <v>10346</v>
      </c>
      <c r="Y56" s="17"/>
      <c r="AB56">
        <v>66.5</v>
      </c>
      <c r="AC56">
        <v>1171.5</v>
      </c>
      <c r="AI56">
        <v>1</v>
      </c>
      <c r="AJ56" t="s">
        <v>82</v>
      </c>
      <c r="AK56" t="s">
        <v>209</v>
      </c>
      <c r="AL56" t="s">
        <v>84</v>
      </c>
    </row>
    <row r="57" spans="1:38" ht="15">
      <c r="A57">
        <v>1923</v>
      </c>
      <c r="B57" s="3" t="s">
        <v>210</v>
      </c>
      <c r="C57" s="12" t="s">
        <v>211</v>
      </c>
      <c r="D57" t="s">
        <v>212</v>
      </c>
      <c r="E57" s="3" t="s">
        <v>213</v>
      </c>
      <c r="F57">
        <v>63</v>
      </c>
      <c r="G57">
        <v>1</v>
      </c>
      <c r="H57">
        <v>90</v>
      </c>
      <c r="V57">
        <v>1076</v>
      </c>
      <c r="Y57" s="17"/>
      <c r="AB57">
        <v>20</v>
      </c>
      <c r="AC57">
        <v>153.9</v>
      </c>
      <c r="AI57">
        <v>20</v>
      </c>
      <c r="AJ57" t="s">
        <v>82</v>
      </c>
      <c r="AK57" t="s">
        <v>214</v>
      </c>
      <c r="AL57" t="s">
        <v>84</v>
      </c>
    </row>
    <row r="58" spans="1:40" ht="15">
      <c r="A58">
        <v>1923</v>
      </c>
      <c r="B58" s="3" t="s">
        <v>215</v>
      </c>
      <c r="C58" s="12" t="s">
        <v>216</v>
      </c>
      <c r="D58" t="s">
        <v>217</v>
      </c>
      <c r="E58" s="3" t="s">
        <v>218</v>
      </c>
      <c r="F58">
        <v>90</v>
      </c>
      <c r="G58">
        <v>1</v>
      </c>
      <c r="H58">
        <v>120</v>
      </c>
      <c r="R58">
        <v>700</v>
      </c>
      <c r="V58">
        <v>1330</v>
      </c>
      <c r="W58">
        <v>940</v>
      </c>
      <c r="Y58" s="17"/>
      <c r="AB58">
        <v>27.5</v>
      </c>
      <c r="AI58">
        <v>1</v>
      </c>
      <c r="AJ58">
        <v>40</v>
      </c>
      <c r="AN58" t="s">
        <v>219</v>
      </c>
    </row>
    <row r="59" spans="1:36" ht="15">
      <c r="A59">
        <v>1923</v>
      </c>
      <c r="B59" t="s">
        <v>187</v>
      </c>
      <c r="C59" s="12" t="s">
        <v>220</v>
      </c>
      <c r="E59" s="3"/>
      <c r="Y59" s="17"/>
      <c r="AI59">
        <v>4</v>
      </c>
      <c r="AJ59">
        <v>1</v>
      </c>
    </row>
    <row r="60" spans="1:40" ht="15">
      <c r="A60">
        <v>1923</v>
      </c>
      <c r="B60" t="s">
        <v>85</v>
      </c>
      <c r="C60" s="12" t="s">
        <v>221</v>
      </c>
      <c r="E60" s="3" t="s">
        <v>222</v>
      </c>
      <c r="F60">
        <v>750</v>
      </c>
      <c r="G60">
        <v>1</v>
      </c>
      <c r="H60">
        <v>247.7</v>
      </c>
      <c r="J60">
        <v>75</v>
      </c>
      <c r="V60">
        <v>3086</v>
      </c>
      <c r="W60">
        <v>2468</v>
      </c>
      <c r="X60">
        <v>618</v>
      </c>
      <c r="Y60" s="17"/>
      <c r="Z60">
        <v>60</v>
      </c>
      <c r="AA60">
        <v>6.4</v>
      </c>
      <c r="AB60">
        <v>22.5</v>
      </c>
      <c r="AC60">
        <v>174</v>
      </c>
      <c r="AI60">
        <v>1</v>
      </c>
      <c r="AJ60">
        <v>3</v>
      </c>
      <c r="AK60" t="s">
        <v>223</v>
      </c>
      <c r="AL60" t="s">
        <v>84</v>
      </c>
      <c r="AN60" t="s">
        <v>224</v>
      </c>
    </row>
    <row r="61" spans="1:40" ht="15">
      <c r="A61">
        <v>1923</v>
      </c>
      <c r="B61" t="s">
        <v>85</v>
      </c>
      <c r="C61" s="12" t="s">
        <v>221</v>
      </c>
      <c r="E61" s="3" t="s">
        <v>222</v>
      </c>
      <c r="F61">
        <v>750</v>
      </c>
      <c r="G61">
        <v>1</v>
      </c>
      <c r="H61">
        <v>247.7</v>
      </c>
      <c r="J61">
        <v>75</v>
      </c>
      <c r="V61">
        <v>3086</v>
      </c>
      <c r="W61">
        <v>2468</v>
      </c>
      <c r="X61">
        <v>618</v>
      </c>
      <c r="Y61" s="17"/>
      <c r="Z61">
        <v>31.7</v>
      </c>
      <c r="AA61">
        <v>6.4</v>
      </c>
      <c r="AB61">
        <v>22.5</v>
      </c>
      <c r="AC61">
        <v>174</v>
      </c>
      <c r="AI61">
        <v>1</v>
      </c>
      <c r="AJ61">
        <v>3</v>
      </c>
      <c r="AK61" t="s">
        <v>223</v>
      </c>
      <c r="AL61" t="s">
        <v>84</v>
      </c>
      <c r="AN61" s="3" t="s">
        <v>225</v>
      </c>
    </row>
    <row r="62" spans="1:38" ht="15">
      <c r="A62">
        <v>1924</v>
      </c>
      <c r="B62" s="3" t="s">
        <v>226</v>
      </c>
      <c r="C62" s="12" t="s">
        <v>227</v>
      </c>
      <c r="D62" t="s">
        <v>228</v>
      </c>
      <c r="E62" s="3" t="s">
        <v>229</v>
      </c>
      <c r="F62">
        <v>418</v>
      </c>
      <c r="G62">
        <v>2</v>
      </c>
      <c r="H62">
        <v>123.2</v>
      </c>
      <c r="V62">
        <v>4510</v>
      </c>
      <c r="Y62" s="17"/>
      <c r="AB62">
        <f>42+5.5/12</f>
        <v>42.458333333333336</v>
      </c>
      <c r="AC62">
        <v>450.8</v>
      </c>
      <c r="AI62">
        <v>135</v>
      </c>
      <c r="AJ62" t="s">
        <v>82</v>
      </c>
      <c r="AK62" t="s">
        <v>172</v>
      </c>
      <c r="AL62" t="s">
        <v>84</v>
      </c>
    </row>
    <row r="63" spans="1:38" ht="15">
      <c r="A63">
        <v>1924</v>
      </c>
      <c r="B63" s="3" t="s">
        <v>160</v>
      </c>
      <c r="C63" s="12" t="s">
        <v>230</v>
      </c>
      <c r="D63" t="s">
        <v>170</v>
      </c>
      <c r="E63" s="3" t="s">
        <v>231</v>
      </c>
      <c r="F63">
        <v>431</v>
      </c>
      <c r="G63">
        <v>1</v>
      </c>
      <c r="H63">
        <v>165.5</v>
      </c>
      <c r="V63">
        <v>3020</v>
      </c>
      <c r="Y63" s="17"/>
      <c r="AB63">
        <v>32</v>
      </c>
      <c r="AC63">
        <v>252.76</v>
      </c>
      <c r="AI63">
        <v>30</v>
      </c>
      <c r="AJ63" t="s">
        <v>82</v>
      </c>
      <c r="AK63" t="s">
        <v>232</v>
      </c>
      <c r="AL63" t="s">
        <v>84</v>
      </c>
    </row>
    <row r="64" spans="1:38" ht="15">
      <c r="A64">
        <v>1924</v>
      </c>
      <c r="B64" t="s">
        <v>95</v>
      </c>
      <c r="C64" s="12" t="s">
        <v>233</v>
      </c>
      <c r="E64" s="3" t="s">
        <v>234</v>
      </c>
      <c r="F64">
        <v>405</v>
      </c>
      <c r="G64">
        <v>1</v>
      </c>
      <c r="H64">
        <v>171</v>
      </c>
      <c r="I64">
        <v>137</v>
      </c>
      <c r="J64">
        <v>71</v>
      </c>
      <c r="O64">
        <v>1250</v>
      </c>
      <c r="P64">
        <v>950</v>
      </c>
      <c r="R64">
        <v>1700</v>
      </c>
      <c r="S64">
        <v>17400</v>
      </c>
      <c r="T64">
        <v>18400</v>
      </c>
      <c r="V64">
        <v>3604</v>
      </c>
      <c r="W64">
        <v>2300</v>
      </c>
      <c r="X64">
        <v>1304</v>
      </c>
      <c r="Y64" s="17"/>
      <c r="Z64">
        <v>170</v>
      </c>
      <c r="AA64">
        <v>9</v>
      </c>
      <c r="AB64">
        <v>32</v>
      </c>
      <c r="AC64">
        <v>279.3</v>
      </c>
      <c r="AI64">
        <f>25+3</f>
        <v>28</v>
      </c>
      <c r="AJ64" t="s">
        <v>235</v>
      </c>
      <c r="AK64" t="s">
        <v>236</v>
      </c>
      <c r="AL64" t="s">
        <v>84</v>
      </c>
    </row>
    <row r="65" spans="1:36" ht="15">
      <c r="A65">
        <v>1924</v>
      </c>
      <c r="B65" t="s">
        <v>185</v>
      </c>
      <c r="C65" s="12" t="s">
        <v>237</v>
      </c>
      <c r="D65" t="s">
        <v>238</v>
      </c>
      <c r="E65" s="3" t="s">
        <v>117</v>
      </c>
      <c r="Y65" s="17"/>
      <c r="AJ65">
        <v>40</v>
      </c>
    </row>
    <row r="66" spans="1:36" ht="15">
      <c r="A66">
        <v>1924</v>
      </c>
      <c r="B66" t="s">
        <v>185</v>
      </c>
      <c r="C66" s="12" t="s">
        <v>239</v>
      </c>
      <c r="D66" t="s">
        <v>238</v>
      </c>
      <c r="E66" s="3" t="s">
        <v>240</v>
      </c>
      <c r="Y66" s="17"/>
      <c r="AJ66">
        <v>40</v>
      </c>
    </row>
    <row r="67" spans="1:38" ht="15">
      <c r="A67">
        <v>1924</v>
      </c>
      <c r="B67" t="s">
        <v>186</v>
      </c>
      <c r="C67" s="12" t="s">
        <v>241</v>
      </c>
      <c r="E67" t="s">
        <v>117</v>
      </c>
      <c r="F67">
        <v>90</v>
      </c>
      <c r="G67">
        <v>3</v>
      </c>
      <c r="H67">
        <v>100</v>
      </c>
      <c r="I67">
        <v>85</v>
      </c>
      <c r="O67">
        <v>450</v>
      </c>
      <c r="V67">
        <v>2200</v>
      </c>
      <c r="X67">
        <v>753</v>
      </c>
      <c r="Y67" s="17">
        <v>2750</v>
      </c>
      <c r="AJ67">
        <v>1</v>
      </c>
      <c r="AK67" t="s">
        <v>83</v>
      </c>
      <c r="AL67" t="s">
        <v>84</v>
      </c>
    </row>
    <row r="68" spans="1:40" ht="15">
      <c r="A68">
        <v>1924</v>
      </c>
      <c r="B68" t="s">
        <v>242</v>
      </c>
      <c r="C68" s="12" t="s">
        <v>243</v>
      </c>
      <c r="D68" t="s">
        <v>244</v>
      </c>
      <c r="E68" t="s">
        <v>234</v>
      </c>
      <c r="F68">
        <v>507</v>
      </c>
      <c r="G68">
        <v>1</v>
      </c>
      <c r="H68">
        <v>219</v>
      </c>
      <c r="J68">
        <v>73.2</v>
      </c>
      <c r="K68">
        <v>78</v>
      </c>
      <c r="V68">
        <v>2503</v>
      </c>
      <c r="W68">
        <v>2032</v>
      </c>
      <c r="X68">
        <v>471</v>
      </c>
      <c r="Y68" s="17"/>
      <c r="Z68">
        <v>40</v>
      </c>
      <c r="AA68">
        <v>4</v>
      </c>
      <c r="AB68">
        <v>30.6</v>
      </c>
      <c r="AC68">
        <v>146.5</v>
      </c>
      <c r="AJ68">
        <v>3</v>
      </c>
      <c r="AK68" t="s">
        <v>245</v>
      </c>
      <c r="AL68" t="s">
        <v>84</v>
      </c>
      <c r="AN68" t="s">
        <v>246</v>
      </c>
    </row>
    <row r="69" spans="1:36" ht="15">
      <c r="A69">
        <v>1924</v>
      </c>
      <c r="B69" s="3" t="s">
        <v>187</v>
      </c>
      <c r="C69" s="12" t="s">
        <v>247</v>
      </c>
      <c r="Y69" s="17"/>
      <c r="AI69">
        <v>12</v>
      </c>
      <c r="AJ69">
        <v>1</v>
      </c>
    </row>
    <row r="70" spans="1:36" ht="15">
      <c r="A70">
        <v>1925</v>
      </c>
      <c r="B70" t="s">
        <v>248</v>
      </c>
      <c r="C70" s="12" t="s">
        <v>249</v>
      </c>
      <c r="E70" s="3" t="s">
        <v>117</v>
      </c>
      <c r="F70">
        <v>90</v>
      </c>
      <c r="S70">
        <v>6000</v>
      </c>
      <c r="Y70" s="17"/>
      <c r="AI70">
        <v>900</v>
      </c>
      <c r="AJ70">
        <v>1</v>
      </c>
    </row>
    <row r="71" spans="1:38" ht="15">
      <c r="A71">
        <v>1925</v>
      </c>
      <c r="B71" s="3" t="s">
        <v>250</v>
      </c>
      <c r="C71" s="12" t="s">
        <v>251</v>
      </c>
      <c r="E71" s="3" t="s">
        <v>252</v>
      </c>
      <c r="F71">
        <v>168</v>
      </c>
      <c r="G71">
        <v>2</v>
      </c>
      <c r="H71">
        <v>92</v>
      </c>
      <c r="V71">
        <v>2575</v>
      </c>
      <c r="Y71" s="17"/>
      <c r="AB71">
        <f>34+5.5/12</f>
        <v>34.458333333333336</v>
      </c>
      <c r="AC71">
        <v>293.4</v>
      </c>
      <c r="AI71">
        <v>221</v>
      </c>
      <c r="AJ71" t="s">
        <v>82</v>
      </c>
      <c r="AK71" t="s">
        <v>253</v>
      </c>
      <c r="AL71" t="s">
        <v>84</v>
      </c>
    </row>
    <row r="72" spans="1:38" ht="15">
      <c r="A72">
        <v>1925</v>
      </c>
      <c r="B72" s="3" t="s">
        <v>254</v>
      </c>
      <c r="C72" s="12" t="s">
        <v>255</v>
      </c>
      <c r="E72" t="s">
        <v>256</v>
      </c>
      <c r="F72">
        <v>424</v>
      </c>
      <c r="G72">
        <v>8</v>
      </c>
      <c r="H72">
        <v>119.7</v>
      </c>
      <c r="V72">
        <v>6483</v>
      </c>
      <c r="Y72" s="17"/>
      <c r="AB72">
        <f>56+7/12</f>
        <v>56.583333333333336</v>
      </c>
      <c r="AC72">
        <v>839.16</v>
      </c>
      <c r="AI72">
        <v>9</v>
      </c>
      <c r="AJ72" t="s">
        <v>82</v>
      </c>
      <c r="AK72" t="s">
        <v>83</v>
      </c>
      <c r="AL72" t="s">
        <v>84</v>
      </c>
    </row>
    <row r="73" spans="1:38" ht="15">
      <c r="A73">
        <v>1925</v>
      </c>
      <c r="B73" t="s">
        <v>254</v>
      </c>
      <c r="C73" s="12" t="s">
        <v>257</v>
      </c>
      <c r="E73" t="s">
        <v>152</v>
      </c>
      <c r="F73">
        <v>439</v>
      </c>
      <c r="G73">
        <v>2</v>
      </c>
      <c r="H73">
        <v>128.5</v>
      </c>
      <c r="I73">
        <v>103</v>
      </c>
      <c r="J73">
        <v>65</v>
      </c>
      <c r="K73">
        <v>76</v>
      </c>
      <c r="Q73">
        <v>3.5</v>
      </c>
      <c r="R73">
        <v>807</v>
      </c>
      <c r="S73">
        <v>16275</v>
      </c>
      <c r="T73">
        <v>18600</v>
      </c>
      <c r="V73">
        <v>4785</v>
      </c>
      <c r="W73">
        <v>3032</v>
      </c>
      <c r="X73">
        <v>1753</v>
      </c>
      <c r="Y73" s="17"/>
      <c r="Z73">
        <f>120+9.5</f>
        <v>129.5</v>
      </c>
      <c r="AA73">
        <v>13.5</v>
      </c>
      <c r="AB73">
        <f>39+8/12</f>
        <v>39.666666666666664</v>
      </c>
      <c r="AC73">
        <v>411</v>
      </c>
      <c r="AJ73" t="s">
        <v>235</v>
      </c>
      <c r="AK73" t="s">
        <v>83</v>
      </c>
      <c r="AL73" t="s">
        <v>84</v>
      </c>
    </row>
    <row r="74" spans="1:44" ht="15">
      <c r="A74">
        <v>1925</v>
      </c>
      <c r="B74" t="s">
        <v>258</v>
      </c>
      <c r="C74" s="12" t="s">
        <v>259</v>
      </c>
      <c r="D74" t="s">
        <v>260</v>
      </c>
      <c r="E74" t="s">
        <v>240</v>
      </c>
      <c r="F74">
        <v>160</v>
      </c>
      <c r="G74">
        <v>5</v>
      </c>
      <c r="H74">
        <v>106.2</v>
      </c>
      <c r="I74">
        <v>80</v>
      </c>
      <c r="K74">
        <v>48</v>
      </c>
      <c r="L74">
        <v>48</v>
      </c>
      <c r="V74">
        <v>2879</v>
      </c>
      <c r="W74">
        <v>1802</v>
      </c>
      <c r="X74">
        <v>1077</v>
      </c>
      <c r="Y74" s="17">
        <v>4500</v>
      </c>
      <c r="Z74">
        <v>38</v>
      </c>
      <c r="AB74">
        <v>38</v>
      </c>
      <c r="AC74">
        <v>350.67</v>
      </c>
      <c r="AJ74">
        <v>39</v>
      </c>
      <c r="AQ74">
        <v>8.24</v>
      </c>
      <c r="AR74">
        <v>18</v>
      </c>
    </row>
    <row r="75" spans="1:36" ht="15">
      <c r="A75">
        <v>1925</v>
      </c>
      <c r="B75" t="s">
        <v>261</v>
      </c>
      <c r="C75" s="12" t="s">
        <v>262</v>
      </c>
      <c r="E75" t="s">
        <v>117</v>
      </c>
      <c r="F75">
        <v>90</v>
      </c>
      <c r="G75">
        <v>3</v>
      </c>
      <c r="H75">
        <v>100</v>
      </c>
      <c r="I75">
        <v>85</v>
      </c>
      <c r="O75">
        <v>425</v>
      </c>
      <c r="V75">
        <v>2180</v>
      </c>
      <c r="X75">
        <v>845</v>
      </c>
      <c r="Y75" s="17">
        <v>3100</v>
      </c>
      <c r="AJ75">
        <v>1</v>
      </c>
    </row>
    <row r="76" spans="1:36" ht="15">
      <c r="A76">
        <v>1925</v>
      </c>
      <c r="B76" t="s">
        <v>187</v>
      </c>
      <c r="C76" s="12" t="s">
        <v>263</v>
      </c>
      <c r="E76" t="s">
        <v>117</v>
      </c>
      <c r="F76">
        <v>90</v>
      </c>
      <c r="G76">
        <v>3</v>
      </c>
      <c r="H76">
        <v>92</v>
      </c>
      <c r="I76">
        <v>79</v>
      </c>
      <c r="O76">
        <v>375</v>
      </c>
      <c r="V76">
        <v>2100</v>
      </c>
      <c r="X76">
        <v>780</v>
      </c>
      <c r="Y76" s="17">
        <v>2500</v>
      </c>
      <c r="AJ76">
        <v>1</v>
      </c>
    </row>
    <row r="77" spans="1:36" ht="15">
      <c r="A77">
        <v>1926</v>
      </c>
      <c r="B77" t="s">
        <v>95</v>
      </c>
      <c r="C77" s="12" t="s">
        <v>264</v>
      </c>
      <c r="G77">
        <v>1</v>
      </c>
      <c r="H77">
        <v>120</v>
      </c>
      <c r="I77">
        <v>105</v>
      </c>
      <c r="J77">
        <v>50</v>
      </c>
      <c r="O77" t="s">
        <v>91</v>
      </c>
      <c r="P77">
        <v>725</v>
      </c>
      <c r="R77">
        <v>1020</v>
      </c>
      <c r="S77">
        <v>15100</v>
      </c>
      <c r="V77">
        <v>4900</v>
      </c>
      <c r="W77">
        <v>3045</v>
      </c>
      <c r="X77">
        <v>1855</v>
      </c>
      <c r="Y77" s="17"/>
      <c r="Z77">
        <f>110+50</f>
        <v>160</v>
      </c>
      <c r="AB77">
        <f>41+11/12</f>
        <v>41.916666666666664</v>
      </c>
      <c r="AC77">
        <v>505</v>
      </c>
      <c r="AJ77">
        <v>2</v>
      </c>
    </row>
    <row r="78" spans="1:38" ht="15">
      <c r="A78">
        <v>1926</v>
      </c>
      <c r="B78" t="s">
        <v>95</v>
      </c>
      <c r="C78" s="12" t="s">
        <v>265</v>
      </c>
      <c r="D78" t="s">
        <v>266</v>
      </c>
      <c r="E78" s="3" t="s">
        <v>234</v>
      </c>
      <c r="F78">
        <v>425</v>
      </c>
      <c r="G78">
        <v>1</v>
      </c>
      <c r="H78">
        <v>165</v>
      </c>
      <c r="J78">
        <v>59</v>
      </c>
      <c r="O78">
        <v>655</v>
      </c>
      <c r="P78">
        <v>351</v>
      </c>
      <c r="R78">
        <f>5000/3.5</f>
        <v>1428.5714285714287</v>
      </c>
      <c r="S78">
        <v>22700</v>
      </c>
      <c r="U78">
        <v>3349</v>
      </c>
      <c r="V78">
        <v>2960</v>
      </c>
      <c r="W78">
        <v>2161</v>
      </c>
      <c r="X78">
        <f>2960-2161</f>
        <v>799</v>
      </c>
      <c r="Y78" s="17"/>
      <c r="Z78">
        <v>100</v>
      </c>
      <c r="AB78">
        <v>31.5</v>
      </c>
      <c r="AC78">
        <v>252</v>
      </c>
      <c r="AD78">
        <v>13.32</v>
      </c>
      <c r="AE78">
        <v>18.13</v>
      </c>
      <c r="AF78">
        <v>14.78</v>
      </c>
      <c r="AG78">
        <v>4.67</v>
      </c>
      <c r="AH78">
        <v>10.8</v>
      </c>
      <c r="AI78">
        <v>37</v>
      </c>
      <c r="AJ78" t="s">
        <v>267</v>
      </c>
      <c r="AK78" t="s">
        <v>83</v>
      </c>
      <c r="AL78" t="s">
        <v>84</v>
      </c>
    </row>
    <row r="79" spans="1:38" ht="15">
      <c r="A79">
        <v>1926</v>
      </c>
      <c r="B79" t="s">
        <v>254</v>
      </c>
      <c r="C79" s="12" t="s">
        <v>268</v>
      </c>
      <c r="E79" t="s">
        <v>152</v>
      </c>
      <c r="F79">
        <v>400</v>
      </c>
      <c r="G79">
        <v>1</v>
      </c>
      <c r="H79">
        <v>135</v>
      </c>
      <c r="I79">
        <v>115</v>
      </c>
      <c r="J79">
        <v>55</v>
      </c>
      <c r="K79">
        <v>58</v>
      </c>
      <c r="P79">
        <v>650</v>
      </c>
      <c r="R79">
        <v>900</v>
      </c>
      <c r="S79">
        <v>16000</v>
      </c>
      <c r="V79">
        <v>5968</v>
      </c>
      <c r="W79">
        <v>2910</v>
      </c>
      <c r="X79">
        <v>2058</v>
      </c>
      <c r="Y79" s="17"/>
      <c r="Z79">
        <f>55+55</f>
        <v>110</v>
      </c>
      <c r="AB79">
        <f>39+8/12</f>
        <v>39.666666666666664</v>
      </c>
      <c r="AC79">
        <v>411</v>
      </c>
      <c r="AJ79">
        <v>2</v>
      </c>
      <c r="AK79" t="s">
        <v>83</v>
      </c>
      <c r="AL79" t="s">
        <v>84</v>
      </c>
    </row>
    <row r="80" spans="1:38" ht="15">
      <c r="A80">
        <v>1926</v>
      </c>
      <c r="B80" s="3" t="s">
        <v>254</v>
      </c>
      <c r="C80" s="12" t="s">
        <v>269</v>
      </c>
      <c r="E80" s="3" t="s">
        <v>256</v>
      </c>
      <c r="F80">
        <v>427</v>
      </c>
      <c r="G80">
        <v>2</v>
      </c>
      <c r="H80">
        <v>126</v>
      </c>
      <c r="V80">
        <v>4672</v>
      </c>
      <c r="Y80" s="17"/>
      <c r="AB80">
        <f>39+8/12</f>
        <v>39.666666666666664</v>
      </c>
      <c r="AC80">
        <v>426</v>
      </c>
      <c r="AI80">
        <v>36</v>
      </c>
      <c r="AJ80" t="s">
        <v>82</v>
      </c>
      <c r="AK80" t="s">
        <v>83</v>
      </c>
      <c r="AL80" t="s">
        <v>84</v>
      </c>
    </row>
    <row r="81" spans="1:38" ht="15">
      <c r="A81">
        <v>1926</v>
      </c>
      <c r="B81" t="s">
        <v>270</v>
      </c>
      <c r="C81" s="12" t="s">
        <v>271</v>
      </c>
      <c r="E81" t="s">
        <v>117</v>
      </c>
      <c r="F81">
        <v>90</v>
      </c>
      <c r="G81">
        <v>3</v>
      </c>
      <c r="H81">
        <v>97.1</v>
      </c>
      <c r="J81">
        <v>40</v>
      </c>
      <c r="N81">
        <f>138.4*3</f>
        <v>415.20000000000005</v>
      </c>
      <c r="Q81">
        <v>5</v>
      </c>
      <c r="R81">
        <f>4000/13.7</f>
        <v>291.97080291970804</v>
      </c>
      <c r="S81">
        <v>9800</v>
      </c>
      <c r="T81">
        <v>9890</v>
      </c>
      <c r="V81">
        <v>2331</v>
      </c>
      <c r="W81">
        <f>2331-735</f>
        <v>1596</v>
      </c>
      <c r="X81">
        <v>735</v>
      </c>
      <c r="Y81" s="17"/>
      <c r="Z81">
        <f>35+7</f>
        <v>42</v>
      </c>
      <c r="AB81">
        <v>44</v>
      </c>
      <c r="AC81">
        <v>275</v>
      </c>
      <c r="AJ81" t="s">
        <v>272</v>
      </c>
      <c r="AK81" t="s">
        <v>273</v>
      </c>
      <c r="AL81" t="s">
        <v>84</v>
      </c>
    </row>
    <row r="82" spans="1:36" ht="15">
      <c r="A82">
        <v>1926</v>
      </c>
      <c r="B82" t="s">
        <v>270</v>
      </c>
      <c r="C82" s="12" t="s">
        <v>274</v>
      </c>
      <c r="E82" s="3" t="s">
        <v>275</v>
      </c>
      <c r="F82">
        <v>200</v>
      </c>
      <c r="Y82" s="17"/>
      <c r="AJ82">
        <v>1</v>
      </c>
    </row>
    <row r="83" spans="1:39" ht="15">
      <c r="A83">
        <v>1926</v>
      </c>
      <c r="B83" t="s">
        <v>185</v>
      </c>
      <c r="C83" s="12" t="s">
        <v>276</v>
      </c>
      <c r="E83" s="3" t="s">
        <v>275</v>
      </c>
      <c r="F83">
        <v>200</v>
      </c>
      <c r="H83">
        <v>130</v>
      </c>
      <c r="I83">
        <v>110</v>
      </c>
      <c r="J83">
        <v>48</v>
      </c>
      <c r="Q83">
        <v>6</v>
      </c>
      <c r="T83">
        <v>19000</v>
      </c>
      <c r="V83">
        <v>2850</v>
      </c>
      <c r="W83">
        <v>1800</v>
      </c>
      <c r="Y83" s="17"/>
      <c r="Z83">
        <v>76</v>
      </c>
      <c r="AJ83">
        <v>40</v>
      </c>
      <c r="AM83">
        <v>86</v>
      </c>
    </row>
    <row r="84" spans="1:39" ht="15">
      <c r="A84">
        <v>1926</v>
      </c>
      <c r="B84" t="s">
        <v>185</v>
      </c>
      <c r="C84" s="12" t="s">
        <v>276</v>
      </c>
      <c r="E84" s="3" t="s">
        <v>277</v>
      </c>
      <c r="Y84" s="17"/>
      <c r="AJ84">
        <v>40</v>
      </c>
      <c r="AM84">
        <v>86</v>
      </c>
    </row>
    <row r="85" spans="1:44" ht="15">
      <c r="A85">
        <v>1926</v>
      </c>
      <c r="B85" t="s">
        <v>278</v>
      </c>
      <c r="C85" s="12" t="s">
        <v>279</v>
      </c>
      <c r="D85" t="s">
        <v>280</v>
      </c>
      <c r="E85" s="3" t="s">
        <v>218</v>
      </c>
      <c r="F85">
        <v>90</v>
      </c>
      <c r="G85">
        <v>3</v>
      </c>
      <c r="H85">
        <v>120</v>
      </c>
      <c r="I85">
        <v>96</v>
      </c>
      <c r="K85">
        <v>64.5</v>
      </c>
      <c r="L85">
        <v>64.5</v>
      </c>
      <c r="R85">
        <v>600</v>
      </c>
      <c r="V85">
        <v>2091.6</v>
      </c>
      <c r="W85">
        <v>1369.6</v>
      </c>
      <c r="X85">
        <v>722</v>
      </c>
      <c r="Y85" s="17"/>
      <c r="Z85">
        <v>30</v>
      </c>
      <c r="AB85">
        <v>32</v>
      </c>
      <c r="AC85">
        <v>219.8</v>
      </c>
      <c r="AJ85">
        <v>39</v>
      </c>
      <c r="AQ85">
        <v>9.5</v>
      </c>
      <c r="AR85">
        <v>17.4</v>
      </c>
    </row>
    <row r="86" spans="1:44" ht="15">
      <c r="A86">
        <v>1926</v>
      </c>
      <c r="B86" t="s">
        <v>278</v>
      </c>
      <c r="C86" s="12" t="s">
        <v>281</v>
      </c>
      <c r="D86" t="s">
        <v>280</v>
      </c>
      <c r="E86" s="3" t="s">
        <v>240</v>
      </c>
      <c r="F86">
        <v>160</v>
      </c>
      <c r="G86">
        <v>3</v>
      </c>
      <c r="H86">
        <v>145</v>
      </c>
      <c r="I86">
        <v>116</v>
      </c>
      <c r="K86">
        <v>66</v>
      </c>
      <c r="L86">
        <v>66</v>
      </c>
      <c r="R86">
        <v>950</v>
      </c>
      <c r="V86">
        <v>2218.4</v>
      </c>
      <c r="W86">
        <v>1488.4</v>
      </c>
      <c r="X86">
        <v>730</v>
      </c>
      <c r="Y86" s="17">
        <v>5000</v>
      </c>
      <c r="Z86">
        <v>30</v>
      </c>
      <c r="AB86">
        <v>32</v>
      </c>
      <c r="AC86">
        <v>219.8</v>
      </c>
      <c r="AJ86">
        <v>39</v>
      </c>
      <c r="AQ86">
        <v>10.1</v>
      </c>
      <c r="AR86">
        <v>12.45</v>
      </c>
    </row>
    <row r="87" spans="1:44" ht="15">
      <c r="A87">
        <v>1926</v>
      </c>
      <c r="B87" t="s">
        <v>278</v>
      </c>
      <c r="C87" s="12" t="s">
        <v>282</v>
      </c>
      <c r="D87" t="s">
        <v>283</v>
      </c>
      <c r="E87" s="3" t="s">
        <v>218</v>
      </c>
      <c r="F87">
        <v>90</v>
      </c>
      <c r="G87">
        <v>3</v>
      </c>
      <c r="H87">
        <v>90</v>
      </c>
      <c r="I87">
        <v>80</v>
      </c>
      <c r="K87">
        <v>46</v>
      </c>
      <c r="L87">
        <v>46</v>
      </c>
      <c r="V87">
        <v>2100</v>
      </c>
      <c r="W87">
        <v>1345</v>
      </c>
      <c r="X87">
        <v>755</v>
      </c>
      <c r="Y87" s="17">
        <v>1850</v>
      </c>
      <c r="Z87">
        <v>30</v>
      </c>
      <c r="AB87">
        <v>36</v>
      </c>
      <c r="AC87">
        <v>338.37</v>
      </c>
      <c r="AJ87">
        <v>39</v>
      </c>
      <c r="AQ87">
        <v>6.2</v>
      </c>
      <c r="AR87">
        <v>23.35</v>
      </c>
    </row>
    <row r="88" spans="1:36" ht="15">
      <c r="A88">
        <v>1926</v>
      </c>
      <c r="B88" t="s">
        <v>284</v>
      </c>
      <c r="C88" s="12" t="s">
        <v>285</v>
      </c>
      <c r="E88" s="3" t="s">
        <v>286</v>
      </c>
      <c r="F88">
        <v>150</v>
      </c>
      <c r="G88">
        <v>3</v>
      </c>
      <c r="H88">
        <v>130</v>
      </c>
      <c r="I88">
        <v>115</v>
      </c>
      <c r="J88">
        <v>45</v>
      </c>
      <c r="Y88" s="17">
        <v>3750</v>
      </c>
      <c r="AI88">
        <v>9</v>
      </c>
      <c r="AJ88" t="s">
        <v>287</v>
      </c>
    </row>
    <row r="89" spans="1:36" ht="15">
      <c r="A89">
        <v>1926</v>
      </c>
      <c r="B89" t="s">
        <v>284</v>
      </c>
      <c r="C89" s="12" t="s">
        <v>288</v>
      </c>
      <c r="E89" t="s">
        <v>277</v>
      </c>
      <c r="F89">
        <v>220</v>
      </c>
      <c r="G89">
        <v>3</v>
      </c>
      <c r="Y89" s="17">
        <v>8100</v>
      </c>
      <c r="AI89">
        <v>7</v>
      </c>
      <c r="AJ89" t="s">
        <v>287</v>
      </c>
    </row>
    <row r="90" spans="1:36" ht="15">
      <c r="A90">
        <v>1926</v>
      </c>
      <c r="B90" t="s">
        <v>289</v>
      </c>
      <c r="C90" s="12" t="s">
        <v>290</v>
      </c>
      <c r="D90" t="s">
        <v>291</v>
      </c>
      <c r="E90" t="s">
        <v>275</v>
      </c>
      <c r="F90">
        <v>200</v>
      </c>
      <c r="G90">
        <v>5</v>
      </c>
      <c r="H90">
        <v>128</v>
      </c>
      <c r="I90">
        <v>105</v>
      </c>
      <c r="J90">
        <v>45</v>
      </c>
      <c r="O90">
        <v>500</v>
      </c>
      <c r="R90">
        <v>600</v>
      </c>
      <c r="V90">
        <v>3280</v>
      </c>
      <c r="W90">
        <v>1815</v>
      </c>
      <c r="X90">
        <v>1200</v>
      </c>
      <c r="Y90" s="4" t="s">
        <v>292</v>
      </c>
      <c r="AB90">
        <f>35+10/12</f>
        <v>35.833333333333336</v>
      </c>
      <c r="AI90" s="3">
        <v>26</v>
      </c>
      <c r="AJ90" s="3" t="s">
        <v>293</v>
      </c>
    </row>
    <row r="91" spans="1:39" ht="15">
      <c r="A91">
        <v>1926</v>
      </c>
      <c r="B91" t="s">
        <v>261</v>
      </c>
      <c r="C91" s="12" t="s">
        <v>294</v>
      </c>
      <c r="E91" s="3" t="s">
        <v>286</v>
      </c>
      <c r="F91">
        <v>150</v>
      </c>
      <c r="G91">
        <v>3</v>
      </c>
      <c r="H91">
        <v>119</v>
      </c>
      <c r="I91">
        <v>105</v>
      </c>
      <c r="J91">
        <v>46</v>
      </c>
      <c r="K91" t="s">
        <v>91</v>
      </c>
      <c r="T91">
        <v>20200</v>
      </c>
      <c r="X91">
        <v>926</v>
      </c>
      <c r="Y91" s="17"/>
      <c r="AB91">
        <f>34+8/12</f>
        <v>34.666666666666664</v>
      </c>
      <c r="AI91">
        <v>50</v>
      </c>
      <c r="AJ91" t="s">
        <v>287</v>
      </c>
      <c r="AM91">
        <v>31</v>
      </c>
    </row>
    <row r="92" spans="1:39" ht="15">
      <c r="A92">
        <v>1926</v>
      </c>
      <c r="B92" t="s">
        <v>261</v>
      </c>
      <c r="C92" s="12" t="s">
        <v>295</v>
      </c>
      <c r="E92" s="3" t="s">
        <v>277</v>
      </c>
      <c r="F92">
        <v>220</v>
      </c>
      <c r="G92">
        <v>3</v>
      </c>
      <c r="H92">
        <v>130</v>
      </c>
      <c r="I92">
        <v>110</v>
      </c>
      <c r="J92">
        <v>45</v>
      </c>
      <c r="K92" t="s">
        <v>91</v>
      </c>
      <c r="X92">
        <v>762</v>
      </c>
      <c r="Y92" s="17">
        <v>9800</v>
      </c>
      <c r="AB92">
        <f>34+8/12</f>
        <v>34.666666666666664</v>
      </c>
      <c r="AI92">
        <v>99</v>
      </c>
      <c r="AJ92" t="s">
        <v>287</v>
      </c>
      <c r="AM92">
        <v>32</v>
      </c>
    </row>
    <row r="93" spans="1:40" ht="15">
      <c r="A93">
        <v>1926</v>
      </c>
      <c r="B93" t="s">
        <v>261</v>
      </c>
      <c r="C93" s="12" t="s">
        <v>296</v>
      </c>
      <c r="E93" s="3" t="s">
        <v>277</v>
      </c>
      <c r="F93">
        <v>220</v>
      </c>
      <c r="X93">
        <v>1200</v>
      </c>
      <c r="Y93" s="17"/>
      <c r="AB93">
        <f>50+5/12</f>
        <v>50.416666666666664</v>
      </c>
      <c r="AJ93" t="s">
        <v>287</v>
      </c>
      <c r="AN93" t="s">
        <v>297</v>
      </c>
    </row>
    <row r="94" spans="1:38" ht="15">
      <c r="A94">
        <v>1927</v>
      </c>
      <c r="B94" t="s">
        <v>160</v>
      </c>
      <c r="C94" s="12" t="s">
        <v>298</v>
      </c>
      <c r="E94" t="s">
        <v>299</v>
      </c>
      <c r="F94">
        <v>450</v>
      </c>
      <c r="G94">
        <v>1</v>
      </c>
      <c r="H94">
        <v>156</v>
      </c>
      <c r="I94">
        <v>131</v>
      </c>
      <c r="J94">
        <v>55</v>
      </c>
      <c r="O94">
        <v>340</v>
      </c>
      <c r="R94">
        <f>5000/3.1</f>
        <v>1612.9032258064515</v>
      </c>
      <c r="S94">
        <v>21500</v>
      </c>
      <c r="U94">
        <v>3340</v>
      </c>
      <c r="V94">
        <v>2945</v>
      </c>
      <c r="W94">
        <v>2183</v>
      </c>
      <c r="X94">
        <v>762</v>
      </c>
      <c r="Y94" s="17"/>
      <c r="Z94">
        <f>2*55</f>
        <v>110</v>
      </c>
      <c r="AB94">
        <v>33</v>
      </c>
      <c r="AC94">
        <v>275</v>
      </c>
      <c r="AJ94">
        <v>2</v>
      </c>
      <c r="AK94" t="s">
        <v>300</v>
      </c>
      <c r="AL94" t="s">
        <v>84</v>
      </c>
    </row>
    <row r="95" spans="1:39" ht="15">
      <c r="A95">
        <v>1927</v>
      </c>
      <c r="B95" t="s">
        <v>160</v>
      </c>
      <c r="C95" s="12" t="s">
        <v>301</v>
      </c>
      <c r="E95" t="s">
        <v>77</v>
      </c>
      <c r="F95">
        <v>405</v>
      </c>
      <c r="G95">
        <v>3</v>
      </c>
      <c r="H95">
        <v>128</v>
      </c>
      <c r="I95">
        <v>105</v>
      </c>
      <c r="J95">
        <v>55</v>
      </c>
      <c r="O95">
        <v>650</v>
      </c>
      <c r="R95">
        <v>770</v>
      </c>
      <c r="S95">
        <v>14500</v>
      </c>
      <c r="V95">
        <v>6000</v>
      </c>
      <c r="W95">
        <v>3531</v>
      </c>
      <c r="X95">
        <v>2469</v>
      </c>
      <c r="Y95" s="17"/>
      <c r="Z95">
        <v>140</v>
      </c>
      <c r="AA95">
        <v>12.5</v>
      </c>
      <c r="AB95">
        <f>44+2/12</f>
        <v>44.166666666666664</v>
      </c>
      <c r="AC95">
        <v>547</v>
      </c>
      <c r="AJ95">
        <v>37</v>
      </c>
      <c r="AM95">
        <v>2</v>
      </c>
    </row>
    <row r="96" spans="1:39" ht="15">
      <c r="A96">
        <v>1927</v>
      </c>
      <c r="B96" t="s">
        <v>302</v>
      </c>
      <c r="C96" s="12" t="s">
        <v>303</v>
      </c>
      <c r="D96" s="3" t="s">
        <v>304</v>
      </c>
      <c r="E96" t="s">
        <v>305</v>
      </c>
      <c r="F96">
        <v>200</v>
      </c>
      <c r="G96">
        <v>3</v>
      </c>
      <c r="H96">
        <v>125</v>
      </c>
      <c r="I96">
        <v>110</v>
      </c>
      <c r="J96">
        <v>42</v>
      </c>
      <c r="O96">
        <v>440</v>
      </c>
      <c r="R96">
        <v>950</v>
      </c>
      <c r="S96">
        <v>16000</v>
      </c>
      <c r="V96">
        <v>2300</v>
      </c>
      <c r="W96">
        <v>1415</v>
      </c>
      <c r="X96">
        <v>885</v>
      </c>
      <c r="Y96" s="17">
        <v>9300</v>
      </c>
      <c r="Z96">
        <v>40</v>
      </c>
      <c r="AB96">
        <v>35</v>
      </c>
      <c r="AC96">
        <v>300</v>
      </c>
      <c r="AJ96">
        <v>37</v>
      </c>
      <c r="AK96" t="s">
        <v>83</v>
      </c>
      <c r="AL96" t="s">
        <v>84</v>
      </c>
      <c r="AM96">
        <v>1</v>
      </c>
    </row>
    <row r="97" spans="1:39" ht="15">
      <c r="A97">
        <v>1927</v>
      </c>
      <c r="B97" t="s">
        <v>302</v>
      </c>
      <c r="C97" s="12" t="s">
        <v>306</v>
      </c>
      <c r="D97" s="3" t="s">
        <v>304</v>
      </c>
      <c r="E97" t="s">
        <v>307</v>
      </c>
      <c r="F97">
        <v>220</v>
      </c>
      <c r="G97">
        <v>3</v>
      </c>
      <c r="H97">
        <v>125</v>
      </c>
      <c r="I97">
        <v>108</v>
      </c>
      <c r="J97">
        <v>52</v>
      </c>
      <c r="O97">
        <v>700</v>
      </c>
      <c r="R97">
        <v>650</v>
      </c>
      <c r="S97">
        <v>12000</v>
      </c>
      <c r="V97">
        <v>3069</v>
      </c>
      <c r="W97">
        <v>1686</v>
      </c>
      <c r="X97">
        <v>1383</v>
      </c>
      <c r="Y97" s="17"/>
      <c r="Z97">
        <v>70</v>
      </c>
      <c r="AB97">
        <v>35</v>
      </c>
      <c r="AC97">
        <v>300</v>
      </c>
      <c r="AJ97">
        <v>37</v>
      </c>
      <c r="AK97" t="s">
        <v>83</v>
      </c>
      <c r="AL97" t="s">
        <v>84</v>
      </c>
      <c r="AM97">
        <v>1</v>
      </c>
    </row>
    <row r="98" spans="1:38" ht="15">
      <c r="A98">
        <v>1925</v>
      </c>
      <c r="B98" t="s">
        <v>302</v>
      </c>
      <c r="C98" s="12"/>
      <c r="D98" s="3" t="s">
        <v>304</v>
      </c>
      <c r="E98" t="s">
        <v>218</v>
      </c>
      <c r="F98">
        <v>90</v>
      </c>
      <c r="G98">
        <v>3</v>
      </c>
      <c r="H98">
        <v>95</v>
      </c>
      <c r="I98">
        <v>80</v>
      </c>
      <c r="J98">
        <v>40</v>
      </c>
      <c r="O98">
        <v>425</v>
      </c>
      <c r="R98">
        <v>500</v>
      </c>
      <c r="S98">
        <v>10000</v>
      </c>
      <c r="V98">
        <v>2150</v>
      </c>
      <c r="W98">
        <v>1380</v>
      </c>
      <c r="X98">
        <v>770</v>
      </c>
      <c r="Y98" s="17"/>
      <c r="Z98">
        <v>40</v>
      </c>
      <c r="AA98">
        <v>4</v>
      </c>
      <c r="AB98">
        <v>35</v>
      </c>
      <c r="AC98">
        <v>300</v>
      </c>
      <c r="AJ98">
        <v>37</v>
      </c>
      <c r="AK98" t="s">
        <v>83</v>
      </c>
      <c r="AL98" t="s">
        <v>84</v>
      </c>
    </row>
    <row r="99" spans="1:36" ht="15">
      <c r="A99">
        <v>1927</v>
      </c>
      <c r="B99" s="3" t="s">
        <v>308</v>
      </c>
      <c r="C99" s="12"/>
      <c r="D99" t="s">
        <v>309</v>
      </c>
      <c r="E99" t="s">
        <v>310</v>
      </c>
      <c r="F99">
        <v>90</v>
      </c>
      <c r="H99">
        <v>100</v>
      </c>
      <c r="Y99" s="17"/>
      <c r="AJ99">
        <v>1</v>
      </c>
    </row>
    <row r="100" spans="1:38" ht="15">
      <c r="A100">
        <v>1927</v>
      </c>
      <c r="B100" t="s">
        <v>95</v>
      </c>
      <c r="C100" s="12" t="s">
        <v>311</v>
      </c>
      <c r="D100" t="s">
        <v>266</v>
      </c>
      <c r="E100" s="3" t="s">
        <v>312</v>
      </c>
      <c r="F100">
        <v>425</v>
      </c>
      <c r="G100">
        <v>1</v>
      </c>
      <c r="H100">
        <v>162</v>
      </c>
      <c r="J100">
        <v>57</v>
      </c>
      <c r="O100">
        <v>676</v>
      </c>
      <c r="P100">
        <v>361</v>
      </c>
      <c r="R100">
        <v>2300</v>
      </c>
      <c r="S100">
        <v>22900</v>
      </c>
      <c r="U100">
        <v>3171</v>
      </c>
      <c r="V100">
        <v>2582</v>
      </c>
      <c r="W100">
        <v>1832</v>
      </c>
      <c r="X100">
        <f>2582-1832</f>
        <v>750</v>
      </c>
      <c r="Y100" s="17"/>
      <c r="Z100">
        <v>100</v>
      </c>
      <c r="AB100">
        <v>31.5</v>
      </c>
      <c r="AC100">
        <v>252</v>
      </c>
      <c r="AD100">
        <v>13.32</v>
      </c>
      <c r="AE100">
        <v>18.13</v>
      </c>
      <c r="AF100">
        <v>14.78</v>
      </c>
      <c r="AG100">
        <v>4.67</v>
      </c>
      <c r="AH100">
        <v>10.8</v>
      </c>
      <c r="AI100">
        <v>32</v>
      </c>
      <c r="AJ100" t="s">
        <v>313</v>
      </c>
      <c r="AK100" t="s">
        <v>83</v>
      </c>
      <c r="AL100" t="s">
        <v>84</v>
      </c>
    </row>
    <row r="101" spans="1:38" ht="15">
      <c r="A101">
        <v>1927</v>
      </c>
      <c r="B101" s="3" t="s">
        <v>95</v>
      </c>
      <c r="C101" s="12" t="s">
        <v>314</v>
      </c>
      <c r="E101" s="3" t="s">
        <v>256</v>
      </c>
      <c r="F101">
        <v>430</v>
      </c>
      <c r="G101">
        <v>2</v>
      </c>
      <c r="H101">
        <v>146</v>
      </c>
      <c r="V101">
        <v>4560.89</v>
      </c>
      <c r="Y101" s="17"/>
      <c r="AB101">
        <v>38</v>
      </c>
      <c r="AC101">
        <v>364.6</v>
      </c>
      <c r="AI101">
        <v>66</v>
      </c>
      <c r="AJ101" t="s">
        <v>82</v>
      </c>
      <c r="AK101" t="s">
        <v>83</v>
      </c>
      <c r="AL101" t="s">
        <v>84</v>
      </c>
    </row>
    <row r="102" spans="1:38" ht="15">
      <c r="A102">
        <v>1927</v>
      </c>
      <c r="B102" s="3" t="s">
        <v>95</v>
      </c>
      <c r="C102" s="12" t="s">
        <v>315</v>
      </c>
      <c r="E102" s="3" t="s">
        <v>316</v>
      </c>
      <c r="F102">
        <v>441</v>
      </c>
      <c r="G102">
        <v>2</v>
      </c>
      <c r="H102">
        <v>143.1</v>
      </c>
      <c r="V102">
        <v>4225</v>
      </c>
      <c r="Y102" s="17"/>
      <c r="AB102">
        <v>38</v>
      </c>
      <c r="AC102">
        <v>364.6</v>
      </c>
      <c r="AI102">
        <v>25</v>
      </c>
      <c r="AJ102" t="s">
        <v>82</v>
      </c>
      <c r="AK102" t="s">
        <v>83</v>
      </c>
      <c r="AL102" t="s">
        <v>84</v>
      </c>
    </row>
    <row r="103" spans="1:38" ht="15">
      <c r="A103">
        <v>1927</v>
      </c>
      <c r="B103" s="3" t="s">
        <v>95</v>
      </c>
      <c r="C103" s="12" t="s">
        <v>317</v>
      </c>
      <c r="E103" s="3" t="s">
        <v>318</v>
      </c>
      <c r="F103">
        <v>436</v>
      </c>
      <c r="G103">
        <v>1</v>
      </c>
      <c r="H103">
        <v>159.6</v>
      </c>
      <c r="V103">
        <v>2932</v>
      </c>
      <c r="Y103" s="17"/>
      <c r="AB103">
        <f>31+7/12</f>
        <v>31.583333333333332</v>
      </c>
      <c r="AC103">
        <v>263.5</v>
      </c>
      <c r="AI103">
        <v>25</v>
      </c>
      <c r="AJ103" t="s">
        <v>82</v>
      </c>
      <c r="AK103" t="s">
        <v>83</v>
      </c>
      <c r="AL103" t="s">
        <v>84</v>
      </c>
    </row>
    <row r="104" spans="1:38" ht="15">
      <c r="A104">
        <v>1927</v>
      </c>
      <c r="B104" s="3" t="s">
        <v>95</v>
      </c>
      <c r="C104" s="12" t="s">
        <v>319</v>
      </c>
      <c r="E104" s="3" t="s">
        <v>320</v>
      </c>
      <c r="F104">
        <v>410</v>
      </c>
      <c r="G104">
        <v>1</v>
      </c>
      <c r="H104">
        <v>154.2</v>
      </c>
      <c r="V104">
        <v>2665</v>
      </c>
      <c r="Y104" s="17"/>
      <c r="AB104">
        <f>31+7/12</f>
        <v>31.583333333333332</v>
      </c>
      <c r="AC104">
        <v>263.5</v>
      </c>
      <c r="AI104">
        <v>1</v>
      </c>
      <c r="AJ104" t="s">
        <v>82</v>
      </c>
      <c r="AK104" t="s">
        <v>83</v>
      </c>
      <c r="AL104" t="s">
        <v>84</v>
      </c>
    </row>
    <row r="105" spans="1:38" ht="15">
      <c r="A105">
        <v>1927</v>
      </c>
      <c r="B105" s="3" t="s">
        <v>95</v>
      </c>
      <c r="C105" s="12" t="s">
        <v>321</v>
      </c>
      <c r="E105" s="3" t="s">
        <v>322</v>
      </c>
      <c r="F105">
        <v>500</v>
      </c>
      <c r="G105">
        <v>1</v>
      </c>
      <c r="H105">
        <v>176.2</v>
      </c>
      <c r="V105">
        <v>3037</v>
      </c>
      <c r="Y105" s="17"/>
      <c r="AB105">
        <v>31.58</v>
      </c>
      <c r="AC105">
        <v>257.2</v>
      </c>
      <c r="AI105">
        <v>1</v>
      </c>
      <c r="AJ105" t="s">
        <v>82</v>
      </c>
      <c r="AK105" t="s">
        <v>83</v>
      </c>
      <c r="AL105" t="s">
        <v>84</v>
      </c>
    </row>
    <row r="106" spans="1:38" ht="15">
      <c r="A106">
        <v>1927</v>
      </c>
      <c r="B106" t="s">
        <v>254</v>
      </c>
      <c r="C106" s="12" t="s">
        <v>323</v>
      </c>
      <c r="E106" t="s">
        <v>152</v>
      </c>
      <c r="F106">
        <v>439</v>
      </c>
      <c r="G106">
        <v>2</v>
      </c>
      <c r="H106">
        <v>134.5</v>
      </c>
      <c r="I106">
        <v>110</v>
      </c>
      <c r="J106">
        <v>58</v>
      </c>
      <c r="K106">
        <v>60</v>
      </c>
      <c r="R106">
        <v>1075</v>
      </c>
      <c r="S106">
        <v>16900</v>
      </c>
      <c r="T106">
        <v>18600</v>
      </c>
      <c r="V106">
        <v>4550</v>
      </c>
      <c r="W106">
        <v>2857</v>
      </c>
      <c r="X106">
        <v>1693</v>
      </c>
      <c r="Y106" s="17"/>
      <c r="Z106">
        <v>110</v>
      </c>
      <c r="AA106">
        <v>9.5</v>
      </c>
      <c r="AB106">
        <f>40+10/12</f>
        <v>40.833333333333336</v>
      </c>
      <c r="AC106">
        <v>362</v>
      </c>
      <c r="AJ106" t="s">
        <v>235</v>
      </c>
      <c r="AK106" t="s">
        <v>324</v>
      </c>
      <c r="AL106" t="s">
        <v>84</v>
      </c>
    </row>
    <row r="107" spans="1:38" ht="15">
      <c r="A107">
        <v>1927</v>
      </c>
      <c r="B107" t="s">
        <v>270</v>
      </c>
      <c r="C107" s="12" t="s">
        <v>325</v>
      </c>
      <c r="E107" t="s">
        <v>277</v>
      </c>
      <c r="F107">
        <v>220</v>
      </c>
      <c r="G107">
        <v>5</v>
      </c>
      <c r="H107">
        <v>122</v>
      </c>
      <c r="I107">
        <v>103</v>
      </c>
      <c r="J107">
        <v>53</v>
      </c>
      <c r="R107">
        <v>580</v>
      </c>
      <c r="T107">
        <v>14750</v>
      </c>
      <c r="V107">
        <v>3225</v>
      </c>
      <c r="W107">
        <v>1790</v>
      </c>
      <c r="X107">
        <f>3225-1790</f>
        <v>1435</v>
      </c>
      <c r="Y107" s="17"/>
      <c r="Z107">
        <v>104</v>
      </c>
      <c r="AB107">
        <v>44</v>
      </c>
      <c r="AC107">
        <v>290</v>
      </c>
      <c r="AJ107">
        <v>2</v>
      </c>
      <c r="AK107" t="s">
        <v>273</v>
      </c>
      <c r="AL107" t="s">
        <v>84</v>
      </c>
    </row>
    <row r="108" spans="1:44" ht="15">
      <c r="A108">
        <v>1927</v>
      </c>
      <c r="B108" t="s">
        <v>278</v>
      </c>
      <c r="C108" s="12" t="s">
        <v>326</v>
      </c>
      <c r="D108" t="s">
        <v>327</v>
      </c>
      <c r="E108" t="s">
        <v>218</v>
      </c>
      <c r="F108">
        <v>90</v>
      </c>
      <c r="G108">
        <v>3</v>
      </c>
      <c r="H108">
        <v>102</v>
      </c>
      <c r="I108">
        <v>87</v>
      </c>
      <c r="K108">
        <v>45</v>
      </c>
      <c r="L108">
        <v>45</v>
      </c>
      <c r="R108">
        <v>600</v>
      </c>
      <c r="V108">
        <v>1950</v>
      </c>
      <c r="W108">
        <v>1165</v>
      </c>
      <c r="X108">
        <v>785</v>
      </c>
      <c r="Y108" s="17">
        <v>2850</v>
      </c>
      <c r="Z108">
        <v>38</v>
      </c>
      <c r="AB108">
        <v>33</v>
      </c>
      <c r="AC108">
        <v>252</v>
      </c>
      <c r="AJ108">
        <v>39</v>
      </c>
      <c r="AQ108">
        <v>7.7</v>
      </c>
      <c r="AR108">
        <v>21.4</v>
      </c>
    </row>
    <row r="109" spans="1:44" ht="15">
      <c r="A109">
        <v>1927</v>
      </c>
      <c r="B109" t="s">
        <v>278</v>
      </c>
      <c r="C109" s="12" t="s">
        <v>328</v>
      </c>
      <c r="D109" t="s">
        <v>329</v>
      </c>
      <c r="E109" s="3" t="s">
        <v>330</v>
      </c>
      <c r="F109">
        <v>220</v>
      </c>
      <c r="G109">
        <v>1</v>
      </c>
      <c r="H109">
        <v>131</v>
      </c>
      <c r="I109">
        <v>112</v>
      </c>
      <c r="K109">
        <v>45</v>
      </c>
      <c r="L109">
        <v>45</v>
      </c>
      <c r="R109">
        <v>1100</v>
      </c>
      <c r="V109">
        <v>2620</v>
      </c>
      <c r="W109">
        <v>1612</v>
      </c>
      <c r="X109">
        <v>1008</v>
      </c>
      <c r="Y109" s="17">
        <v>9850</v>
      </c>
      <c r="Z109">
        <v>56.5</v>
      </c>
      <c r="AA109">
        <v>6</v>
      </c>
      <c r="AB109">
        <v>33</v>
      </c>
      <c r="AC109">
        <v>252</v>
      </c>
      <c r="AJ109">
        <v>39</v>
      </c>
      <c r="AQ109">
        <v>10.4</v>
      </c>
      <c r="AR109">
        <v>11.9</v>
      </c>
    </row>
    <row r="110" spans="1:44" ht="15">
      <c r="A110">
        <v>1927</v>
      </c>
      <c r="B110" t="s">
        <v>278</v>
      </c>
      <c r="C110" s="12" t="s">
        <v>328</v>
      </c>
      <c r="D110" t="s">
        <v>331</v>
      </c>
      <c r="E110" s="3" t="s">
        <v>330</v>
      </c>
      <c r="F110">
        <v>220</v>
      </c>
      <c r="G110">
        <v>3</v>
      </c>
      <c r="H110">
        <v>131</v>
      </c>
      <c r="I110">
        <v>112</v>
      </c>
      <c r="K110">
        <v>45</v>
      </c>
      <c r="L110">
        <v>45</v>
      </c>
      <c r="R110">
        <v>1100</v>
      </c>
      <c r="V110">
        <v>2620</v>
      </c>
      <c r="W110">
        <v>1612</v>
      </c>
      <c r="X110">
        <v>1008</v>
      </c>
      <c r="Y110" s="17">
        <v>10000</v>
      </c>
      <c r="Z110">
        <v>56.5</v>
      </c>
      <c r="AA110">
        <v>6</v>
      </c>
      <c r="AB110">
        <v>33</v>
      </c>
      <c r="AC110">
        <v>252</v>
      </c>
      <c r="AJ110">
        <v>39</v>
      </c>
      <c r="AQ110">
        <v>10.4</v>
      </c>
      <c r="AR110">
        <v>11.9</v>
      </c>
    </row>
    <row r="111" spans="1:36" ht="15">
      <c r="A111">
        <v>1927</v>
      </c>
      <c r="B111" t="s">
        <v>284</v>
      </c>
      <c r="C111" s="12" t="s">
        <v>268</v>
      </c>
      <c r="D111" t="s">
        <v>332</v>
      </c>
      <c r="E111" s="3" t="s">
        <v>286</v>
      </c>
      <c r="F111">
        <v>150</v>
      </c>
      <c r="G111">
        <v>3</v>
      </c>
      <c r="Y111" s="17"/>
      <c r="AI111">
        <v>18</v>
      </c>
      <c r="AJ111" t="s">
        <v>287</v>
      </c>
    </row>
    <row r="112" spans="1:40" ht="15">
      <c r="A112">
        <v>1927</v>
      </c>
      <c r="B112" t="s">
        <v>284</v>
      </c>
      <c r="C112" s="12" t="s">
        <v>333</v>
      </c>
      <c r="D112" t="s">
        <v>334</v>
      </c>
      <c r="E112" t="s">
        <v>335</v>
      </c>
      <c r="F112">
        <v>223</v>
      </c>
      <c r="G112">
        <v>2</v>
      </c>
      <c r="H112">
        <v>124</v>
      </c>
      <c r="I112">
        <v>97</v>
      </c>
      <c r="J112">
        <v>62</v>
      </c>
      <c r="K112">
        <v>72</v>
      </c>
      <c r="L112">
        <v>72</v>
      </c>
      <c r="N112">
        <v>2500</v>
      </c>
      <c r="O112">
        <v>4110</v>
      </c>
      <c r="P112">
        <v>4040</v>
      </c>
      <c r="V112">
        <v>5250</v>
      </c>
      <c r="W112">
        <v>2150</v>
      </c>
      <c r="X112">
        <f>5250-2150</f>
        <v>3100</v>
      </c>
      <c r="Y112" s="17">
        <v>10580</v>
      </c>
      <c r="Z112">
        <v>450</v>
      </c>
      <c r="AA112">
        <v>20</v>
      </c>
      <c r="AB112">
        <v>46</v>
      </c>
      <c r="AC112">
        <v>319</v>
      </c>
      <c r="AI112">
        <v>1</v>
      </c>
      <c r="AJ112" t="s">
        <v>336</v>
      </c>
      <c r="AN112" s="3" t="s">
        <v>337</v>
      </c>
    </row>
    <row r="113" spans="1:39" ht="15">
      <c r="A113">
        <v>1927</v>
      </c>
      <c r="B113" t="s">
        <v>261</v>
      </c>
      <c r="C113" s="12" t="s">
        <v>338</v>
      </c>
      <c r="E113" s="3" t="s">
        <v>117</v>
      </c>
      <c r="F113">
        <v>90</v>
      </c>
      <c r="G113">
        <v>3</v>
      </c>
      <c r="H113">
        <v>100</v>
      </c>
      <c r="I113">
        <v>85</v>
      </c>
      <c r="J113">
        <v>40</v>
      </c>
      <c r="K113" t="s">
        <v>91</v>
      </c>
      <c r="X113">
        <v>845</v>
      </c>
      <c r="Y113" s="17">
        <v>2950</v>
      </c>
      <c r="AB113">
        <f>34+8/12</f>
        <v>34.666666666666664</v>
      </c>
      <c r="AI113">
        <v>600</v>
      </c>
      <c r="AJ113" t="s">
        <v>287</v>
      </c>
      <c r="AM113">
        <v>30</v>
      </c>
    </row>
    <row r="114" spans="1:36" ht="15">
      <c r="A114">
        <v>1927</v>
      </c>
      <c r="B114" t="s">
        <v>187</v>
      </c>
      <c r="C114" s="12" t="s">
        <v>339</v>
      </c>
      <c r="E114" t="s">
        <v>117</v>
      </c>
      <c r="Y114" s="17"/>
      <c r="AJ114">
        <v>1</v>
      </c>
    </row>
    <row r="115" spans="1:38" ht="15">
      <c r="A115">
        <v>1928</v>
      </c>
      <c r="B115" s="3" t="s">
        <v>160</v>
      </c>
      <c r="C115" s="12" t="s">
        <v>340</v>
      </c>
      <c r="E115" s="3" t="s">
        <v>341</v>
      </c>
      <c r="F115">
        <v>400</v>
      </c>
      <c r="G115">
        <v>1</v>
      </c>
      <c r="H115">
        <v>173.2</v>
      </c>
      <c r="V115">
        <v>3116</v>
      </c>
      <c r="Y115" s="17"/>
      <c r="AB115">
        <v>30.1</v>
      </c>
      <c r="AC115">
        <v>247.9</v>
      </c>
      <c r="AI115">
        <v>1</v>
      </c>
      <c r="AJ115" t="s">
        <v>82</v>
      </c>
      <c r="AK115" t="s">
        <v>342</v>
      </c>
      <c r="AL115" t="s">
        <v>84</v>
      </c>
    </row>
    <row r="116" spans="1:36" ht="15">
      <c r="A116">
        <v>1928</v>
      </c>
      <c r="B116" t="s">
        <v>308</v>
      </c>
      <c r="C116" s="12" t="s">
        <v>343</v>
      </c>
      <c r="E116" t="s">
        <v>344</v>
      </c>
      <c r="F116">
        <v>120</v>
      </c>
      <c r="Y116" s="17"/>
      <c r="AJ116">
        <v>1</v>
      </c>
    </row>
    <row r="117" spans="1:36" ht="15">
      <c r="A117">
        <v>1928</v>
      </c>
      <c r="B117" t="s">
        <v>308</v>
      </c>
      <c r="C117" s="12" t="s">
        <v>345</v>
      </c>
      <c r="E117" t="s">
        <v>346</v>
      </c>
      <c r="F117">
        <v>110</v>
      </c>
      <c r="Y117" s="17"/>
      <c r="AI117">
        <v>300</v>
      </c>
      <c r="AJ117">
        <v>1</v>
      </c>
    </row>
    <row r="118" spans="1:38" ht="15">
      <c r="A118">
        <v>1928</v>
      </c>
      <c r="B118" s="3" t="s">
        <v>250</v>
      </c>
      <c r="C118" s="12" t="s">
        <v>347</v>
      </c>
      <c r="E118" s="3" t="s">
        <v>348</v>
      </c>
      <c r="F118">
        <v>220</v>
      </c>
      <c r="G118">
        <v>2</v>
      </c>
      <c r="H118">
        <v>105.5</v>
      </c>
      <c r="V118">
        <v>2445</v>
      </c>
      <c r="Y118" s="17"/>
      <c r="AB118">
        <f>34+5.5/12</f>
        <v>34.458333333333336</v>
      </c>
      <c r="AC118">
        <v>306.3</v>
      </c>
      <c r="AI118">
        <v>130</v>
      </c>
      <c r="AJ118" t="s">
        <v>82</v>
      </c>
      <c r="AK118" t="s">
        <v>83</v>
      </c>
      <c r="AL118" t="s">
        <v>84</v>
      </c>
    </row>
    <row r="119" spans="1:40" ht="15">
      <c r="A119">
        <v>1928</v>
      </c>
      <c r="B119" t="s">
        <v>95</v>
      </c>
      <c r="C119" s="12" t="s">
        <v>349</v>
      </c>
      <c r="E119" t="s">
        <v>117</v>
      </c>
      <c r="F119">
        <v>90</v>
      </c>
      <c r="G119">
        <v>3</v>
      </c>
      <c r="H119">
        <v>99</v>
      </c>
      <c r="I119">
        <v>84</v>
      </c>
      <c r="J119">
        <v>44</v>
      </c>
      <c r="K119">
        <v>38</v>
      </c>
      <c r="O119">
        <v>510</v>
      </c>
      <c r="P119">
        <v>350</v>
      </c>
      <c r="R119">
        <v>650</v>
      </c>
      <c r="S119">
        <v>12700</v>
      </c>
      <c r="V119">
        <v>2440</v>
      </c>
      <c r="W119">
        <v>1576</v>
      </c>
      <c r="X119">
        <v>737</v>
      </c>
      <c r="Y119" s="17">
        <v>4000</v>
      </c>
      <c r="Z119">
        <v>50</v>
      </c>
      <c r="AA119">
        <v>5</v>
      </c>
      <c r="AB119">
        <v>41</v>
      </c>
      <c r="AI119">
        <v>750</v>
      </c>
      <c r="AJ119" s="3" t="s">
        <v>350</v>
      </c>
      <c r="AN119" t="s">
        <v>351</v>
      </c>
    </row>
    <row r="120" spans="1:38" ht="15">
      <c r="A120">
        <v>1928</v>
      </c>
      <c r="B120" s="3" t="s">
        <v>95</v>
      </c>
      <c r="C120" s="12" t="s">
        <v>352</v>
      </c>
      <c r="E120" s="3" t="s">
        <v>77</v>
      </c>
      <c r="F120">
        <v>446</v>
      </c>
      <c r="G120">
        <v>2</v>
      </c>
      <c r="H120">
        <v>137.4</v>
      </c>
      <c r="V120">
        <v>4114</v>
      </c>
      <c r="Y120" s="17"/>
      <c r="AB120">
        <v>38</v>
      </c>
      <c r="AC120">
        <v>364.6</v>
      </c>
      <c r="AI120">
        <v>1</v>
      </c>
      <c r="AJ120" t="s">
        <v>82</v>
      </c>
      <c r="AK120" t="s">
        <v>83</v>
      </c>
      <c r="AL120" t="s">
        <v>84</v>
      </c>
    </row>
    <row r="121" spans="1:49" ht="15">
      <c r="A121">
        <v>1928</v>
      </c>
      <c r="B121" t="s">
        <v>270</v>
      </c>
      <c r="C121" s="12" t="s">
        <v>353</v>
      </c>
      <c r="E121" t="s">
        <v>354</v>
      </c>
      <c r="K121">
        <v>60</v>
      </c>
      <c r="Y121" s="17"/>
      <c r="Z121">
        <f>40+60+40+60+40+72</f>
        <v>312</v>
      </c>
      <c r="AB121">
        <v>50</v>
      </c>
      <c r="AC121">
        <v>336</v>
      </c>
      <c r="AI121">
        <v>1</v>
      </c>
      <c r="AJ121" t="s">
        <v>355</v>
      </c>
      <c r="AK121" t="s">
        <v>273</v>
      </c>
      <c r="AL121" t="s">
        <v>84</v>
      </c>
      <c r="AV121">
        <v>1.5</v>
      </c>
      <c r="AW121">
        <v>29.6</v>
      </c>
    </row>
    <row r="122" spans="1:38" ht="15">
      <c r="A122">
        <v>1928</v>
      </c>
      <c r="B122" t="s">
        <v>356</v>
      </c>
      <c r="C122" s="12" t="s">
        <v>357</v>
      </c>
      <c r="E122" t="s">
        <v>358</v>
      </c>
      <c r="F122">
        <v>525</v>
      </c>
      <c r="G122">
        <v>3</v>
      </c>
      <c r="H122">
        <v>113.2</v>
      </c>
      <c r="I122">
        <v>98</v>
      </c>
      <c r="J122">
        <v>56</v>
      </c>
      <c r="P122">
        <v>650</v>
      </c>
      <c r="Q122">
        <v>7.5</v>
      </c>
      <c r="R122">
        <v>385</v>
      </c>
      <c r="S122">
        <v>10150</v>
      </c>
      <c r="V122">
        <v>7309</v>
      </c>
      <c r="W122">
        <v>3890</v>
      </c>
      <c r="X122">
        <f>7309-3890</f>
        <v>3419</v>
      </c>
      <c r="Y122" s="17"/>
      <c r="Z122">
        <v>200</v>
      </c>
      <c r="AA122">
        <v>8</v>
      </c>
      <c r="AB122">
        <v>53</v>
      </c>
      <c r="AI122">
        <v>18</v>
      </c>
      <c r="AJ122">
        <v>3</v>
      </c>
      <c r="AL122" t="s">
        <v>84</v>
      </c>
    </row>
    <row r="123" spans="1:38" ht="15">
      <c r="A123">
        <v>1928</v>
      </c>
      <c r="B123" t="s">
        <v>356</v>
      </c>
      <c r="C123" s="12" t="s">
        <v>359</v>
      </c>
      <c r="E123" t="s">
        <v>358</v>
      </c>
      <c r="F123">
        <v>525</v>
      </c>
      <c r="G123">
        <v>3</v>
      </c>
      <c r="H123">
        <v>113.2</v>
      </c>
      <c r="I123">
        <v>98</v>
      </c>
      <c r="J123">
        <v>56</v>
      </c>
      <c r="P123">
        <v>650</v>
      </c>
      <c r="Q123">
        <v>7.5</v>
      </c>
      <c r="R123">
        <v>385</v>
      </c>
      <c r="S123">
        <v>10150</v>
      </c>
      <c r="V123">
        <v>7309</v>
      </c>
      <c r="W123">
        <v>3890</v>
      </c>
      <c r="X123">
        <f>7309-3890</f>
        <v>3419</v>
      </c>
      <c r="Y123" s="17"/>
      <c r="Z123">
        <v>200</v>
      </c>
      <c r="AA123">
        <v>8</v>
      </c>
      <c r="AB123">
        <v>53</v>
      </c>
      <c r="AI123">
        <v>32</v>
      </c>
      <c r="AJ123">
        <v>3</v>
      </c>
      <c r="AL123" t="s">
        <v>84</v>
      </c>
    </row>
    <row r="124" spans="1:38" ht="15">
      <c r="A124">
        <v>1928</v>
      </c>
      <c r="B124" t="s">
        <v>360</v>
      </c>
      <c r="C124" s="12"/>
      <c r="D124" t="s">
        <v>361</v>
      </c>
      <c r="E124" s="3" t="s">
        <v>362</v>
      </c>
      <c r="F124">
        <v>32</v>
      </c>
      <c r="G124">
        <v>1</v>
      </c>
      <c r="H124">
        <v>150</v>
      </c>
      <c r="J124">
        <v>55</v>
      </c>
      <c r="O124">
        <v>300</v>
      </c>
      <c r="R124">
        <v>1500</v>
      </c>
      <c r="V124">
        <v>535</v>
      </c>
      <c r="W124">
        <v>235</v>
      </c>
      <c r="Y124" s="17"/>
      <c r="Z124">
        <v>4.5</v>
      </c>
      <c r="AB124">
        <v>18.5</v>
      </c>
      <c r="AC124">
        <v>55</v>
      </c>
      <c r="AI124">
        <v>1</v>
      </c>
      <c r="AJ124">
        <v>35</v>
      </c>
      <c r="AK124" t="s">
        <v>363</v>
      </c>
      <c r="AL124" t="s">
        <v>84</v>
      </c>
    </row>
    <row r="125" spans="1:38" ht="15">
      <c r="A125">
        <v>1928</v>
      </c>
      <c r="B125" t="s">
        <v>102</v>
      </c>
      <c r="C125" s="12" t="s">
        <v>364</v>
      </c>
      <c r="E125" t="s">
        <v>358</v>
      </c>
      <c r="F125">
        <v>525</v>
      </c>
      <c r="G125">
        <v>3</v>
      </c>
      <c r="H125">
        <v>113.2</v>
      </c>
      <c r="I125">
        <v>98</v>
      </c>
      <c r="J125">
        <v>56</v>
      </c>
      <c r="P125">
        <v>650</v>
      </c>
      <c r="Q125">
        <v>7.5</v>
      </c>
      <c r="R125">
        <v>385</v>
      </c>
      <c r="S125">
        <v>10150</v>
      </c>
      <c r="V125">
        <v>7309</v>
      </c>
      <c r="W125">
        <v>3890</v>
      </c>
      <c r="X125">
        <f>7309-3890</f>
        <v>3419</v>
      </c>
      <c r="Y125" s="17"/>
      <c r="Z125">
        <v>200</v>
      </c>
      <c r="AA125">
        <v>8</v>
      </c>
      <c r="AB125">
        <v>53</v>
      </c>
      <c r="AI125">
        <f>1+54+48</f>
        <v>103</v>
      </c>
      <c r="AJ125">
        <v>3</v>
      </c>
      <c r="AL125" t="s">
        <v>84</v>
      </c>
    </row>
    <row r="126" spans="1:44" ht="15">
      <c r="A126">
        <v>1928</v>
      </c>
      <c r="B126" t="s">
        <v>278</v>
      </c>
      <c r="C126" s="12" t="s">
        <v>365</v>
      </c>
      <c r="D126" t="s">
        <v>366</v>
      </c>
      <c r="E126" s="3" t="s">
        <v>330</v>
      </c>
      <c r="F126">
        <v>220</v>
      </c>
      <c r="G126">
        <v>1</v>
      </c>
      <c r="H126">
        <v>128</v>
      </c>
      <c r="I126">
        <v>110</v>
      </c>
      <c r="K126">
        <v>45</v>
      </c>
      <c r="L126">
        <v>45</v>
      </c>
      <c r="R126">
        <v>900</v>
      </c>
      <c r="V126">
        <v>3000</v>
      </c>
      <c r="W126">
        <v>1840</v>
      </c>
      <c r="X126">
        <v>1295</v>
      </c>
      <c r="Y126" s="17">
        <v>11500</v>
      </c>
      <c r="Z126">
        <v>63</v>
      </c>
      <c r="AA126">
        <v>6</v>
      </c>
      <c r="AB126">
        <v>33</v>
      </c>
      <c r="AC126">
        <v>252</v>
      </c>
      <c r="AJ126">
        <v>39</v>
      </c>
      <c r="AQ126">
        <v>11.5</v>
      </c>
      <c r="AR126">
        <v>13.6</v>
      </c>
    </row>
    <row r="127" spans="1:44" ht="15">
      <c r="A127">
        <v>1928</v>
      </c>
      <c r="B127" t="s">
        <v>278</v>
      </c>
      <c r="C127" s="12" t="s">
        <v>365</v>
      </c>
      <c r="D127" t="s">
        <v>367</v>
      </c>
      <c r="E127" s="3" t="s">
        <v>330</v>
      </c>
      <c r="F127">
        <v>220</v>
      </c>
      <c r="G127">
        <v>3</v>
      </c>
      <c r="H127">
        <v>128</v>
      </c>
      <c r="I127">
        <v>110</v>
      </c>
      <c r="K127">
        <v>45</v>
      </c>
      <c r="L127">
        <v>45</v>
      </c>
      <c r="R127">
        <v>900</v>
      </c>
      <c r="V127">
        <v>3050</v>
      </c>
      <c r="W127">
        <v>1892</v>
      </c>
      <c r="X127">
        <v>1295</v>
      </c>
      <c r="Y127" s="17">
        <v>11000</v>
      </c>
      <c r="Z127">
        <v>63</v>
      </c>
      <c r="AA127">
        <v>6</v>
      </c>
      <c r="AB127">
        <v>33</v>
      </c>
      <c r="AC127">
        <v>252</v>
      </c>
      <c r="AJ127">
        <v>39</v>
      </c>
      <c r="AQ127">
        <v>12.1</v>
      </c>
      <c r="AR127">
        <v>13.8</v>
      </c>
    </row>
    <row r="128" spans="1:44" ht="15">
      <c r="A128">
        <v>1928</v>
      </c>
      <c r="B128" t="s">
        <v>278</v>
      </c>
      <c r="C128" s="12" t="s">
        <v>368</v>
      </c>
      <c r="D128" t="s">
        <v>367</v>
      </c>
      <c r="E128" s="3" t="s">
        <v>330</v>
      </c>
      <c r="F128">
        <v>220</v>
      </c>
      <c r="G128">
        <v>3</v>
      </c>
      <c r="H128">
        <v>144</v>
      </c>
      <c r="I128">
        <v>120</v>
      </c>
      <c r="K128">
        <v>45</v>
      </c>
      <c r="L128">
        <v>45</v>
      </c>
      <c r="R128">
        <v>900</v>
      </c>
      <c r="V128">
        <v>3050</v>
      </c>
      <c r="W128">
        <v>1892</v>
      </c>
      <c r="X128">
        <v>1295</v>
      </c>
      <c r="Y128" s="17">
        <v>11500</v>
      </c>
      <c r="Z128">
        <v>63</v>
      </c>
      <c r="AA128">
        <v>6</v>
      </c>
      <c r="AB128">
        <v>33</v>
      </c>
      <c r="AC128">
        <v>252</v>
      </c>
      <c r="AJ128">
        <v>39</v>
      </c>
      <c r="AN128" t="s">
        <v>369</v>
      </c>
      <c r="AQ128">
        <v>12.1</v>
      </c>
      <c r="AR128">
        <v>13.8</v>
      </c>
    </row>
    <row r="129" spans="1:36" ht="15">
      <c r="A129">
        <v>1928</v>
      </c>
      <c r="B129" t="s">
        <v>370</v>
      </c>
      <c r="C129" s="12" t="s">
        <v>371</v>
      </c>
      <c r="E129" t="s">
        <v>372</v>
      </c>
      <c r="F129">
        <v>128</v>
      </c>
      <c r="G129">
        <v>3</v>
      </c>
      <c r="H129">
        <v>115</v>
      </c>
      <c r="I129">
        <v>98</v>
      </c>
      <c r="J129">
        <v>42</v>
      </c>
      <c r="O129">
        <v>500</v>
      </c>
      <c r="P129">
        <v>450</v>
      </c>
      <c r="S129">
        <v>11000</v>
      </c>
      <c r="X129">
        <v>800</v>
      </c>
      <c r="Y129" s="17">
        <v>5200</v>
      </c>
      <c r="AB129">
        <v>32</v>
      </c>
      <c r="AI129">
        <v>100</v>
      </c>
      <c r="AJ129" t="s">
        <v>287</v>
      </c>
    </row>
    <row r="130" spans="1:36" ht="15">
      <c r="A130">
        <v>1928</v>
      </c>
      <c r="B130" t="s">
        <v>373</v>
      </c>
      <c r="C130" s="12" t="s">
        <v>374</v>
      </c>
      <c r="E130" t="s">
        <v>277</v>
      </c>
      <c r="F130">
        <v>220</v>
      </c>
      <c r="H130">
        <v>126</v>
      </c>
      <c r="I130">
        <v>108</v>
      </c>
      <c r="J130">
        <v>41</v>
      </c>
      <c r="O130">
        <v>620</v>
      </c>
      <c r="P130" t="s">
        <v>91</v>
      </c>
      <c r="Y130" s="17">
        <v>8970</v>
      </c>
      <c r="AB130">
        <v>35</v>
      </c>
      <c r="AI130">
        <v>136</v>
      </c>
      <c r="AJ130" t="s">
        <v>287</v>
      </c>
    </row>
    <row r="131" spans="1:36" ht="15">
      <c r="A131">
        <v>1928</v>
      </c>
      <c r="B131" t="s">
        <v>289</v>
      </c>
      <c r="C131" s="12" t="s">
        <v>375</v>
      </c>
      <c r="D131" t="s">
        <v>376</v>
      </c>
      <c r="E131" t="s">
        <v>346</v>
      </c>
      <c r="F131">
        <v>110</v>
      </c>
      <c r="G131">
        <v>4</v>
      </c>
      <c r="Y131" s="17"/>
      <c r="AJ131">
        <v>1</v>
      </c>
    </row>
    <row r="132" spans="1:38" ht="15">
      <c r="A132">
        <v>1928</v>
      </c>
      <c r="B132" t="s">
        <v>377</v>
      </c>
      <c r="C132" s="12" t="s">
        <v>378</v>
      </c>
      <c r="D132" s="3" t="s">
        <v>379</v>
      </c>
      <c r="E132" t="s">
        <v>380</v>
      </c>
      <c r="F132">
        <v>185</v>
      </c>
      <c r="G132">
        <v>2</v>
      </c>
      <c r="H132" t="s">
        <v>91</v>
      </c>
      <c r="I132">
        <v>92</v>
      </c>
      <c r="J132">
        <v>35</v>
      </c>
      <c r="P132">
        <v>500</v>
      </c>
      <c r="R132">
        <v>640</v>
      </c>
      <c r="S132">
        <v>18000</v>
      </c>
      <c r="V132">
        <v>2365</v>
      </c>
      <c r="W132" t="s">
        <v>91</v>
      </c>
      <c r="X132">
        <v>702</v>
      </c>
      <c r="Y132" s="17"/>
      <c r="Z132">
        <v>39</v>
      </c>
      <c r="AA132">
        <v>4</v>
      </c>
      <c r="AB132">
        <f>35+3/12</f>
        <v>35.25</v>
      </c>
      <c r="AC132">
        <v>236</v>
      </c>
      <c r="AJ132">
        <v>3</v>
      </c>
      <c r="AK132" t="s">
        <v>381</v>
      </c>
      <c r="AL132" t="s">
        <v>84</v>
      </c>
    </row>
    <row r="133" spans="1:38" ht="15">
      <c r="A133">
        <v>1928</v>
      </c>
      <c r="B133" t="s">
        <v>377</v>
      </c>
      <c r="C133" s="12" t="s">
        <v>382</v>
      </c>
      <c r="D133" s="3" t="s">
        <v>379</v>
      </c>
      <c r="E133" t="s">
        <v>383</v>
      </c>
      <c r="F133">
        <v>100</v>
      </c>
      <c r="G133">
        <v>2</v>
      </c>
      <c r="H133">
        <v>118</v>
      </c>
      <c r="I133">
        <v>92</v>
      </c>
      <c r="J133">
        <v>35</v>
      </c>
      <c r="P133">
        <v>500</v>
      </c>
      <c r="R133">
        <v>640</v>
      </c>
      <c r="S133">
        <v>18000</v>
      </c>
      <c r="V133">
        <v>2365</v>
      </c>
      <c r="W133">
        <v>1663</v>
      </c>
      <c r="X133">
        <v>702</v>
      </c>
      <c r="Y133" s="17"/>
      <c r="Z133">
        <v>39</v>
      </c>
      <c r="AA133">
        <v>4</v>
      </c>
      <c r="AB133">
        <f>35+3/12</f>
        <v>35.25</v>
      </c>
      <c r="AC133">
        <v>236</v>
      </c>
      <c r="AJ133">
        <v>3</v>
      </c>
      <c r="AK133" t="s">
        <v>381</v>
      </c>
      <c r="AL133" t="s">
        <v>84</v>
      </c>
    </row>
    <row r="134" spans="1:40" ht="15">
      <c r="A134">
        <v>1928</v>
      </c>
      <c r="B134" t="s">
        <v>187</v>
      </c>
      <c r="C134" s="12" t="s">
        <v>384</v>
      </c>
      <c r="D134" s="3" t="s">
        <v>385</v>
      </c>
      <c r="E134" t="s">
        <v>277</v>
      </c>
      <c r="F134">
        <v>220</v>
      </c>
      <c r="Y134" s="17"/>
      <c r="AI134">
        <v>60</v>
      </c>
      <c r="AJ134">
        <v>1</v>
      </c>
      <c r="AK134" t="s">
        <v>386</v>
      </c>
      <c r="AL134" t="s">
        <v>84</v>
      </c>
      <c r="AN134" t="s">
        <v>387</v>
      </c>
    </row>
    <row r="135" spans="1:38" ht="15">
      <c r="A135">
        <v>1929</v>
      </c>
      <c r="B135" t="s">
        <v>388</v>
      </c>
      <c r="C135" s="12" t="s">
        <v>389</v>
      </c>
      <c r="E135" t="s">
        <v>390</v>
      </c>
      <c r="F135">
        <v>26</v>
      </c>
      <c r="G135">
        <v>1</v>
      </c>
      <c r="H135">
        <v>75</v>
      </c>
      <c r="I135">
        <v>60</v>
      </c>
      <c r="J135">
        <v>32</v>
      </c>
      <c r="O135" t="s">
        <v>91</v>
      </c>
      <c r="P135">
        <v>240</v>
      </c>
      <c r="R135">
        <v>600</v>
      </c>
      <c r="S135">
        <v>16500</v>
      </c>
      <c r="T135">
        <v>20000</v>
      </c>
      <c r="V135">
        <v>672</v>
      </c>
      <c r="W135">
        <v>398</v>
      </c>
      <c r="X135">
        <f>45+9.4+170+50</f>
        <v>274.4</v>
      </c>
      <c r="Y135" s="17"/>
      <c r="Z135">
        <v>8</v>
      </c>
      <c r="AA135">
        <v>1.25</v>
      </c>
      <c r="AB135">
        <v>36</v>
      </c>
      <c r="AC135">
        <v>145</v>
      </c>
      <c r="AJ135">
        <v>2</v>
      </c>
      <c r="AK135" t="s">
        <v>83</v>
      </c>
      <c r="AL135" t="s">
        <v>84</v>
      </c>
    </row>
    <row r="136" spans="1:38" ht="15">
      <c r="A136">
        <v>1929</v>
      </c>
      <c r="B136" t="s">
        <v>95</v>
      </c>
      <c r="C136" s="12" t="s">
        <v>391</v>
      </c>
      <c r="D136" t="s">
        <v>392</v>
      </c>
      <c r="E136" s="3" t="s">
        <v>393</v>
      </c>
      <c r="F136">
        <v>435</v>
      </c>
      <c r="G136">
        <v>2</v>
      </c>
      <c r="H136">
        <v>141.4</v>
      </c>
      <c r="V136">
        <v>4378</v>
      </c>
      <c r="Y136" s="17"/>
      <c r="AB136">
        <v>38</v>
      </c>
      <c r="AC136">
        <v>364.6</v>
      </c>
      <c r="AJ136" t="s">
        <v>235</v>
      </c>
      <c r="AK136" t="s">
        <v>83</v>
      </c>
      <c r="AL136" t="s">
        <v>84</v>
      </c>
    </row>
    <row r="137" spans="1:39" ht="15">
      <c r="A137">
        <v>1929</v>
      </c>
      <c r="B137" t="s">
        <v>185</v>
      </c>
      <c r="C137" s="12" t="s">
        <v>394</v>
      </c>
      <c r="D137" t="s">
        <v>395</v>
      </c>
      <c r="E137" s="3" t="s">
        <v>277</v>
      </c>
      <c r="Y137" s="17"/>
      <c r="AJ137">
        <v>40</v>
      </c>
      <c r="AM137">
        <v>152</v>
      </c>
    </row>
    <row r="138" spans="1:39" ht="15">
      <c r="A138">
        <v>1929</v>
      </c>
      <c r="B138" t="s">
        <v>185</v>
      </c>
      <c r="C138" s="12" t="s">
        <v>396</v>
      </c>
      <c r="D138" t="s">
        <v>395</v>
      </c>
      <c r="E138" s="3" t="s">
        <v>397</v>
      </c>
      <c r="F138">
        <v>330</v>
      </c>
      <c r="Y138" s="17"/>
      <c r="AJ138">
        <v>40</v>
      </c>
      <c r="AM138">
        <v>176</v>
      </c>
    </row>
    <row r="139" spans="1:39" ht="15">
      <c r="A139">
        <v>1929</v>
      </c>
      <c r="B139" t="s">
        <v>398</v>
      </c>
      <c r="C139" s="12" t="s">
        <v>399</v>
      </c>
      <c r="D139" t="s">
        <v>400</v>
      </c>
      <c r="E139" t="s">
        <v>397</v>
      </c>
      <c r="F139">
        <v>330</v>
      </c>
      <c r="G139">
        <v>5</v>
      </c>
      <c r="H139">
        <v>138</v>
      </c>
      <c r="I139">
        <v>112</v>
      </c>
      <c r="J139">
        <v>55</v>
      </c>
      <c r="P139">
        <v>750</v>
      </c>
      <c r="R139">
        <v>1000</v>
      </c>
      <c r="S139">
        <v>18000</v>
      </c>
      <c r="T139">
        <v>25000</v>
      </c>
      <c r="V139">
        <v>4000</v>
      </c>
      <c r="W139">
        <v>2250</v>
      </c>
      <c r="X139">
        <v>1750</v>
      </c>
      <c r="Y139" s="17"/>
      <c r="Z139">
        <v>100</v>
      </c>
      <c r="AB139">
        <f>42+4/12</f>
        <v>42.333333333333336</v>
      </c>
      <c r="AC139">
        <v>224</v>
      </c>
      <c r="AJ139">
        <v>3</v>
      </c>
      <c r="AK139" t="s">
        <v>83</v>
      </c>
      <c r="AL139" t="s">
        <v>84</v>
      </c>
      <c r="AM139">
        <v>142</v>
      </c>
    </row>
    <row r="140" spans="1:44" ht="15">
      <c r="A140">
        <v>1929</v>
      </c>
      <c r="B140" t="s">
        <v>278</v>
      </c>
      <c r="C140" s="12" t="s">
        <v>401</v>
      </c>
      <c r="D140" t="s">
        <v>329</v>
      </c>
      <c r="E140" s="3" t="s">
        <v>402</v>
      </c>
      <c r="F140">
        <v>240</v>
      </c>
      <c r="G140">
        <v>1</v>
      </c>
      <c r="H140">
        <v>145</v>
      </c>
      <c r="I140">
        <v>120</v>
      </c>
      <c r="K140">
        <v>45</v>
      </c>
      <c r="L140">
        <v>45</v>
      </c>
      <c r="R140">
        <v>900</v>
      </c>
      <c r="V140">
        <v>3050</v>
      </c>
      <c r="W140">
        <v>1820</v>
      </c>
      <c r="X140">
        <v>1229</v>
      </c>
      <c r="Y140" s="17">
        <v>8550</v>
      </c>
      <c r="Z140">
        <v>63</v>
      </c>
      <c r="AA140">
        <v>6</v>
      </c>
      <c r="AB140">
        <v>33</v>
      </c>
      <c r="AC140">
        <v>243.5</v>
      </c>
      <c r="AJ140">
        <v>39</v>
      </c>
      <c r="AQ140">
        <v>12.5</v>
      </c>
      <c r="AR140">
        <v>12.7</v>
      </c>
    </row>
    <row r="141" spans="1:44" ht="15">
      <c r="A141">
        <v>1929</v>
      </c>
      <c r="B141" t="s">
        <v>278</v>
      </c>
      <c r="C141" s="12" t="s">
        <v>403</v>
      </c>
      <c r="D141" t="s">
        <v>367</v>
      </c>
      <c r="E141" s="3" t="s">
        <v>402</v>
      </c>
      <c r="F141">
        <v>240</v>
      </c>
      <c r="G141">
        <v>3</v>
      </c>
      <c r="H141">
        <v>145</v>
      </c>
      <c r="I141">
        <v>120</v>
      </c>
      <c r="K141">
        <v>45</v>
      </c>
      <c r="L141">
        <v>45</v>
      </c>
      <c r="R141">
        <v>900</v>
      </c>
      <c r="V141">
        <v>2950</v>
      </c>
      <c r="W141">
        <v>1820</v>
      </c>
      <c r="X141">
        <v>1129</v>
      </c>
      <c r="Y141" s="17">
        <v>8000</v>
      </c>
      <c r="Z141">
        <v>70</v>
      </c>
      <c r="AA141">
        <v>6</v>
      </c>
      <c r="AB141">
        <v>33</v>
      </c>
      <c r="AC141">
        <v>243.5</v>
      </c>
      <c r="AJ141">
        <v>39</v>
      </c>
      <c r="AQ141">
        <v>12.1</v>
      </c>
      <c r="AR141">
        <v>12.3</v>
      </c>
    </row>
    <row r="142" spans="1:40" ht="15">
      <c r="A142">
        <v>1929</v>
      </c>
      <c r="B142" t="s">
        <v>261</v>
      </c>
      <c r="C142" s="12" t="s">
        <v>404</v>
      </c>
      <c r="D142" t="s">
        <v>405</v>
      </c>
      <c r="E142" s="3" t="s">
        <v>406</v>
      </c>
      <c r="F142">
        <v>420</v>
      </c>
      <c r="G142">
        <v>1</v>
      </c>
      <c r="H142">
        <v>235</v>
      </c>
      <c r="I142">
        <v>185</v>
      </c>
      <c r="J142">
        <v>73</v>
      </c>
      <c r="O142">
        <v>525</v>
      </c>
      <c r="R142">
        <v>3200</v>
      </c>
      <c r="V142">
        <v>1940</v>
      </c>
      <c r="W142">
        <v>1475</v>
      </c>
      <c r="Y142" s="17">
        <v>12500</v>
      </c>
      <c r="Z142">
        <v>47</v>
      </c>
      <c r="AA142">
        <v>6</v>
      </c>
      <c r="AB142">
        <f>29+2/12</f>
        <v>29.166666666666668</v>
      </c>
      <c r="AC142">
        <v>125</v>
      </c>
      <c r="AD142">
        <v>12.3</v>
      </c>
      <c r="AE142">
        <v>23.5</v>
      </c>
      <c r="AG142">
        <v>9.8</v>
      </c>
      <c r="AI142">
        <v>5</v>
      </c>
      <c r="AJ142" s="3" t="s">
        <v>407</v>
      </c>
      <c r="AN142" t="s">
        <v>408</v>
      </c>
    </row>
    <row r="143" spans="1:36" ht="15">
      <c r="A143">
        <v>1930</v>
      </c>
      <c r="B143" t="s">
        <v>160</v>
      </c>
      <c r="C143" s="12"/>
      <c r="D143" t="s">
        <v>409</v>
      </c>
      <c r="E143" s="3" t="s">
        <v>410</v>
      </c>
      <c r="F143">
        <v>575</v>
      </c>
      <c r="Y143" s="17"/>
      <c r="AJ143">
        <v>28</v>
      </c>
    </row>
    <row r="144" spans="1:38" ht="15">
      <c r="A144">
        <v>1930</v>
      </c>
      <c r="B144" t="s">
        <v>411</v>
      </c>
      <c r="C144" s="12" t="s">
        <v>412</v>
      </c>
      <c r="D144" s="3" t="s">
        <v>413</v>
      </c>
      <c r="E144" t="s">
        <v>414</v>
      </c>
      <c r="F144">
        <v>95</v>
      </c>
      <c r="G144">
        <v>1</v>
      </c>
      <c r="H144">
        <v>163.5</v>
      </c>
      <c r="I144">
        <v>150</v>
      </c>
      <c r="J144">
        <v>60</v>
      </c>
      <c r="P144">
        <v>250</v>
      </c>
      <c r="V144">
        <v>900</v>
      </c>
      <c r="W144">
        <v>635</v>
      </c>
      <c r="X144">
        <v>265</v>
      </c>
      <c r="Y144" s="17"/>
      <c r="AB144">
        <f>20+1/12</f>
        <v>20.083333333333332</v>
      </c>
      <c r="AC144">
        <v>67</v>
      </c>
      <c r="AI144">
        <v>1</v>
      </c>
      <c r="AJ144">
        <v>3</v>
      </c>
      <c r="AK144" t="s">
        <v>386</v>
      </c>
      <c r="AL144" t="s">
        <v>84</v>
      </c>
    </row>
    <row r="145" spans="1:36" ht="15">
      <c r="A145">
        <v>1930</v>
      </c>
      <c r="B145" t="s">
        <v>185</v>
      </c>
      <c r="C145" s="12" t="s">
        <v>415</v>
      </c>
      <c r="D145" s="3"/>
      <c r="E145" t="s">
        <v>397</v>
      </c>
      <c r="F145">
        <v>330</v>
      </c>
      <c r="Y145" s="17"/>
      <c r="AJ145">
        <v>40</v>
      </c>
    </row>
    <row r="146" spans="1:40" ht="15">
      <c r="A146">
        <v>1930</v>
      </c>
      <c r="B146" t="s">
        <v>185</v>
      </c>
      <c r="C146" s="12" t="s">
        <v>416</v>
      </c>
      <c r="D146" s="3"/>
      <c r="Y146" s="17"/>
      <c r="AJ146">
        <v>40</v>
      </c>
      <c r="AM146">
        <v>353</v>
      </c>
      <c r="AN146" t="s">
        <v>417</v>
      </c>
    </row>
    <row r="147" spans="1:36" ht="15">
      <c r="A147">
        <v>1930</v>
      </c>
      <c r="B147" t="s">
        <v>185</v>
      </c>
      <c r="C147" s="12" t="s">
        <v>418</v>
      </c>
      <c r="D147" s="3" t="s">
        <v>395</v>
      </c>
      <c r="E147" t="s">
        <v>419</v>
      </c>
      <c r="Y147" s="17"/>
      <c r="AJ147">
        <v>40</v>
      </c>
    </row>
    <row r="148" spans="1:40" ht="15">
      <c r="A148">
        <v>1930</v>
      </c>
      <c r="B148" t="s">
        <v>185</v>
      </c>
      <c r="C148" s="12" t="s">
        <v>420</v>
      </c>
      <c r="D148" t="s">
        <v>421</v>
      </c>
      <c r="E148" t="s">
        <v>422</v>
      </c>
      <c r="F148">
        <v>300</v>
      </c>
      <c r="G148">
        <v>1</v>
      </c>
      <c r="H148">
        <v>201.91</v>
      </c>
      <c r="V148">
        <v>1845</v>
      </c>
      <c r="W148">
        <v>1380</v>
      </c>
      <c r="X148">
        <f>1845-1380</f>
        <v>465</v>
      </c>
      <c r="Y148" s="17"/>
      <c r="Z148">
        <v>50</v>
      </c>
      <c r="AA148">
        <v>7</v>
      </c>
      <c r="AB148">
        <v>21</v>
      </c>
      <c r="AJ148" t="s">
        <v>423</v>
      </c>
      <c r="AK148" t="s">
        <v>424</v>
      </c>
      <c r="AL148" t="s">
        <v>84</v>
      </c>
      <c r="AN148" t="s">
        <v>425</v>
      </c>
    </row>
    <row r="149" spans="1:40" ht="15">
      <c r="A149">
        <v>1930</v>
      </c>
      <c r="B149" t="s">
        <v>426</v>
      </c>
      <c r="C149" s="12" t="s">
        <v>427</v>
      </c>
      <c r="E149" t="s">
        <v>428</v>
      </c>
      <c r="F149">
        <v>110</v>
      </c>
      <c r="G149">
        <v>2</v>
      </c>
      <c r="S149">
        <v>16000</v>
      </c>
      <c r="Y149" s="17">
        <v>4750</v>
      </c>
      <c r="AJ149" t="s">
        <v>429</v>
      </c>
      <c r="AK149" t="s">
        <v>430</v>
      </c>
      <c r="AL149" t="s">
        <v>84</v>
      </c>
      <c r="AN149" t="s">
        <v>431</v>
      </c>
    </row>
    <row r="150" spans="1:39" ht="15">
      <c r="A150">
        <v>1930</v>
      </c>
      <c r="B150" t="s">
        <v>426</v>
      </c>
      <c r="C150" s="12" t="s">
        <v>432</v>
      </c>
      <c r="E150" t="s">
        <v>433</v>
      </c>
      <c r="F150">
        <v>90</v>
      </c>
      <c r="G150">
        <v>2</v>
      </c>
      <c r="Y150" s="17">
        <v>3375</v>
      </c>
      <c r="AJ150" t="s">
        <v>434</v>
      </c>
      <c r="AM150">
        <v>306</v>
      </c>
    </row>
    <row r="151" spans="1:36" ht="15">
      <c r="A151">
        <v>1930</v>
      </c>
      <c r="B151" t="s">
        <v>289</v>
      </c>
      <c r="C151" s="12" t="s">
        <v>435</v>
      </c>
      <c r="D151" t="s">
        <v>376</v>
      </c>
      <c r="E151" t="s">
        <v>436</v>
      </c>
      <c r="F151">
        <v>215</v>
      </c>
      <c r="H151">
        <v>125</v>
      </c>
      <c r="I151">
        <v>105</v>
      </c>
      <c r="J151">
        <v>55</v>
      </c>
      <c r="O151">
        <v>500</v>
      </c>
      <c r="X151">
        <v>1134</v>
      </c>
      <c r="Y151" s="17">
        <v>5775</v>
      </c>
      <c r="AB151">
        <f>41+8/12</f>
        <v>41.666666666666664</v>
      </c>
      <c r="AI151">
        <v>350</v>
      </c>
      <c r="AJ151" t="s">
        <v>287</v>
      </c>
    </row>
    <row r="152" spans="1:38" ht="15">
      <c r="A152">
        <v>1930</v>
      </c>
      <c r="B152" t="s">
        <v>158</v>
      </c>
      <c r="C152" s="12" t="s">
        <v>437</v>
      </c>
      <c r="D152" t="s">
        <v>438</v>
      </c>
      <c r="E152" s="3" t="s">
        <v>439</v>
      </c>
      <c r="F152">
        <v>450</v>
      </c>
      <c r="H152">
        <v>138</v>
      </c>
      <c r="S152">
        <v>16300</v>
      </c>
      <c r="V152">
        <v>4057</v>
      </c>
      <c r="Y152" s="17"/>
      <c r="AB152">
        <v>36</v>
      </c>
      <c r="AC152">
        <v>325.6</v>
      </c>
      <c r="AD152">
        <v>32.6</v>
      </c>
      <c r="AE152">
        <v>23.6</v>
      </c>
      <c r="AF152">
        <v>18.5</v>
      </c>
      <c r="AG152">
        <v>4.4</v>
      </c>
      <c r="AH152">
        <v>14.1</v>
      </c>
      <c r="AI152">
        <v>130</v>
      </c>
      <c r="AJ152" t="s">
        <v>440</v>
      </c>
      <c r="AK152" t="s">
        <v>441</v>
      </c>
      <c r="AL152" t="s">
        <v>84</v>
      </c>
    </row>
    <row r="153" spans="1:36" ht="15">
      <c r="A153">
        <v>1931</v>
      </c>
      <c r="B153" t="s">
        <v>160</v>
      </c>
      <c r="C153" s="12" t="s">
        <v>442</v>
      </c>
      <c r="D153" t="s">
        <v>443</v>
      </c>
      <c r="E153" s="3" t="s">
        <v>444</v>
      </c>
      <c r="F153">
        <v>500</v>
      </c>
      <c r="G153">
        <v>1</v>
      </c>
      <c r="H153">
        <v>186</v>
      </c>
      <c r="I153">
        <v>158</v>
      </c>
      <c r="J153">
        <v>57</v>
      </c>
      <c r="O153">
        <v>812</v>
      </c>
      <c r="P153">
        <v>403</v>
      </c>
      <c r="R153">
        <f>5000/2.5</f>
        <v>2000</v>
      </c>
      <c r="S153">
        <v>26900</v>
      </c>
      <c r="T153">
        <v>28200</v>
      </c>
      <c r="U153">
        <v>3260</v>
      </c>
      <c r="V153">
        <v>2793</v>
      </c>
      <c r="W153">
        <v>2061</v>
      </c>
      <c r="X153">
        <f>2793-2061</f>
        <v>732</v>
      </c>
      <c r="Y153" s="17"/>
      <c r="Z153">
        <v>110</v>
      </c>
      <c r="AB153">
        <v>30</v>
      </c>
      <c r="AC153">
        <v>236.1</v>
      </c>
      <c r="AD153">
        <v>14.68</v>
      </c>
      <c r="AE153">
        <v>19.9</v>
      </c>
      <c r="AF153">
        <v>17.88</v>
      </c>
      <c r="AI153">
        <v>46</v>
      </c>
      <c r="AJ153" t="s">
        <v>445</v>
      </c>
    </row>
    <row r="154" spans="1:38" ht="15">
      <c r="A154">
        <v>1931</v>
      </c>
      <c r="B154" t="s">
        <v>95</v>
      </c>
      <c r="C154" s="12" t="s">
        <v>446</v>
      </c>
      <c r="D154" t="s">
        <v>266</v>
      </c>
      <c r="E154" s="3" t="s">
        <v>447</v>
      </c>
      <c r="F154">
        <v>600</v>
      </c>
      <c r="G154">
        <v>1</v>
      </c>
      <c r="H154">
        <v>198</v>
      </c>
      <c r="I154">
        <v>175</v>
      </c>
      <c r="J154">
        <v>61</v>
      </c>
      <c r="O154">
        <v>572</v>
      </c>
      <c r="P154">
        <v>285</v>
      </c>
      <c r="R154">
        <f>10000/5.3</f>
        <v>1886.7924528301887</v>
      </c>
      <c r="S154">
        <v>24700</v>
      </c>
      <c r="T154">
        <v>25800</v>
      </c>
      <c r="V154">
        <v>2436</v>
      </c>
      <c r="W154">
        <v>2699</v>
      </c>
      <c r="X154">
        <v>737</v>
      </c>
      <c r="Y154" s="17"/>
      <c r="AB154">
        <v>31.5</v>
      </c>
      <c r="AC154">
        <v>252</v>
      </c>
      <c r="AI154">
        <v>45</v>
      </c>
      <c r="AJ154">
        <v>2</v>
      </c>
      <c r="AK154" t="s">
        <v>83</v>
      </c>
      <c r="AL154" t="s">
        <v>84</v>
      </c>
    </row>
    <row r="155" spans="1:38" ht="15">
      <c r="A155">
        <v>1931</v>
      </c>
      <c r="B155" t="s">
        <v>448</v>
      </c>
      <c r="C155" s="12" t="s">
        <v>449</v>
      </c>
      <c r="E155" t="s">
        <v>450</v>
      </c>
      <c r="F155">
        <v>45</v>
      </c>
      <c r="G155">
        <v>2</v>
      </c>
      <c r="H155">
        <v>75</v>
      </c>
      <c r="I155">
        <v>65</v>
      </c>
      <c r="J155">
        <v>30</v>
      </c>
      <c r="P155">
        <v>200</v>
      </c>
      <c r="R155">
        <v>600</v>
      </c>
      <c r="V155">
        <v>975</v>
      </c>
      <c r="W155">
        <v>555</v>
      </c>
      <c r="X155">
        <v>420</v>
      </c>
      <c r="Y155" s="17"/>
      <c r="Z155">
        <v>8.5</v>
      </c>
      <c r="AA155">
        <v>1.5</v>
      </c>
      <c r="AB155">
        <v>39.5</v>
      </c>
      <c r="AC155">
        <v>176</v>
      </c>
      <c r="AJ155">
        <v>2</v>
      </c>
      <c r="AK155" t="s">
        <v>451</v>
      </c>
      <c r="AL155" t="s">
        <v>84</v>
      </c>
    </row>
    <row r="156" spans="1:38" ht="15">
      <c r="A156">
        <v>1931</v>
      </c>
      <c r="B156" t="s">
        <v>254</v>
      </c>
      <c r="C156" s="12" t="s">
        <v>452</v>
      </c>
      <c r="E156" t="s">
        <v>453</v>
      </c>
      <c r="F156">
        <v>525</v>
      </c>
      <c r="G156">
        <v>2</v>
      </c>
      <c r="H156">
        <v>142</v>
      </c>
      <c r="I156">
        <v>128</v>
      </c>
      <c r="J156">
        <v>59</v>
      </c>
      <c r="K156">
        <v>63</v>
      </c>
      <c r="R156">
        <v>1240</v>
      </c>
      <c r="S156">
        <v>20700</v>
      </c>
      <c r="T156">
        <v>22500</v>
      </c>
      <c r="V156">
        <v>4458</v>
      </c>
      <c r="W156">
        <v>3072</v>
      </c>
      <c r="X156">
        <v>1386</v>
      </c>
      <c r="Y156" s="17"/>
      <c r="Z156">
        <v>110</v>
      </c>
      <c r="AA156">
        <v>14</v>
      </c>
      <c r="AB156">
        <v>40</v>
      </c>
      <c r="AC156">
        <v>371.5</v>
      </c>
      <c r="AJ156">
        <v>2</v>
      </c>
      <c r="AK156" t="s">
        <v>324</v>
      </c>
      <c r="AL156" t="s">
        <v>84</v>
      </c>
    </row>
    <row r="157" spans="1:36" ht="15">
      <c r="A157">
        <v>1931</v>
      </c>
      <c r="B157" t="s">
        <v>270</v>
      </c>
      <c r="C157" s="12" t="s">
        <v>454</v>
      </c>
      <c r="E157" t="s">
        <v>455</v>
      </c>
      <c r="F157">
        <v>90</v>
      </c>
      <c r="G157">
        <v>2</v>
      </c>
      <c r="Y157" s="17"/>
      <c r="AJ157">
        <v>1</v>
      </c>
    </row>
    <row r="158" spans="1:39" ht="15">
      <c r="A158">
        <v>1931</v>
      </c>
      <c r="B158" t="s">
        <v>360</v>
      </c>
      <c r="C158" s="12" t="s">
        <v>456</v>
      </c>
      <c r="D158" t="s">
        <v>457</v>
      </c>
      <c r="E158" t="s">
        <v>458</v>
      </c>
      <c r="F158">
        <v>25</v>
      </c>
      <c r="G158">
        <v>1</v>
      </c>
      <c r="H158">
        <v>73</v>
      </c>
      <c r="I158">
        <v>63</v>
      </c>
      <c r="J158">
        <v>32</v>
      </c>
      <c r="P158">
        <v>330</v>
      </c>
      <c r="R158">
        <v>500</v>
      </c>
      <c r="S158">
        <v>11000</v>
      </c>
      <c r="V158">
        <v>700</v>
      </c>
      <c r="W158">
        <v>450</v>
      </c>
      <c r="X158">
        <f>700-450</f>
        <v>250</v>
      </c>
      <c r="Y158" s="17"/>
      <c r="Z158">
        <v>10</v>
      </c>
      <c r="AA158">
        <v>1.5</v>
      </c>
      <c r="AB158">
        <f>31+3/12</f>
        <v>31.25</v>
      </c>
      <c r="AC158">
        <v>135.5</v>
      </c>
      <c r="AJ158">
        <v>3</v>
      </c>
      <c r="AK158" t="s">
        <v>83</v>
      </c>
      <c r="AL158" t="s">
        <v>84</v>
      </c>
      <c r="AM158" t="s">
        <v>459</v>
      </c>
    </row>
    <row r="159" spans="1:40" ht="15">
      <c r="A159">
        <v>1931</v>
      </c>
      <c r="B159" t="s">
        <v>185</v>
      </c>
      <c r="C159" s="12" t="s">
        <v>460</v>
      </c>
      <c r="D159" t="s">
        <v>461</v>
      </c>
      <c r="E159" s="3" t="s">
        <v>462</v>
      </c>
      <c r="F159">
        <v>525</v>
      </c>
      <c r="G159">
        <v>1</v>
      </c>
      <c r="H159">
        <v>223.038</v>
      </c>
      <c r="V159">
        <v>2160</v>
      </c>
      <c r="W159">
        <v>1580</v>
      </c>
      <c r="X159">
        <f>2160-1580</f>
        <v>580</v>
      </c>
      <c r="Y159" s="17"/>
      <c r="Z159">
        <v>112</v>
      </c>
      <c r="AA159">
        <v>11</v>
      </c>
      <c r="AB159">
        <v>21</v>
      </c>
      <c r="AJ159">
        <v>3</v>
      </c>
      <c r="AK159" t="s">
        <v>424</v>
      </c>
      <c r="AL159" t="s">
        <v>84</v>
      </c>
      <c r="AN159" t="s">
        <v>463</v>
      </c>
    </row>
    <row r="160" spans="1:39" ht="15">
      <c r="A160">
        <v>1931</v>
      </c>
      <c r="B160" t="s">
        <v>74</v>
      </c>
      <c r="C160" s="12" t="s">
        <v>464</v>
      </c>
      <c r="D160" t="s">
        <v>465</v>
      </c>
      <c r="E160" s="3" t="s">
        <v>466</v>
      </c>
      <c r="F160">
        <v>450</v>
      </c>
      <c r="G160">
        <v>7</v>
      </c>
      <c r="H160">
        <v>220</v>
      </c>
      <c r="I160">
        <v>175</v>
      </c>
      <c r="J160">
        <v>65</v>
      </c>
      <c r="P160">
        <v>750</v>
      </c>
      <c r="S160">
        <v>22000</v>
      </c>
      <c r="U160">
        <v>5400</v>
      </c>
      <c r="V160">
        <v>5200</v>
      </c>
      <c r="W160">
        <v>3420</v>
      </c>
      <c r="X160">
        <v>1780</v>
      </c>
      <c r="Y160" s="17"/>
      <c r="Z160">
        <f>31+31+31+31</f>
        <v>124</v>
      </c>
      <c r="AA160">
        <v>10</v>
      </c>
      <c r="AB160">
        <f>42+9.25/12</f>
        <v>42.770833333333336</v>
      </c>
      <c r="AC160">
        <v>294.1</v>
      </c>
      <c r="AJ160">
        <v>3</v>
      </c>
      <c r="AK160" t="s">
        <v>467</v>
      </c>
      <c r="AL160" t="s">
        <v>468</v>
      </c>
      <c r="AM160" t="s">
        <v>469</v>
      </c>
    </row>
    <row r="161" spans="1:36" ht="15">
      <c r="A161">
        <v>1931</v>
      </c>
      <c r="B161" t="s">
        <v>102</v>
      </c>
      <c r="C161" s="12" t="s">
        <v>470</v>
      </c>
      <c r="E161" s="3"/>
      <c r="G161">
        <v>2</v>
      </c>
      <c r="H161">
        <v>145</v>
      </c>
      <c r="I161">
        <v>95</v>
      </c>
      <c r="J161">
        <v>59</v>
      </c>
      <c r="P161">
        <v>400</v>
      </c>
      <c r="S161">
        <v>16500</v>
      </c>
      <c r="V161">
        <v>5749</v>
      </c>
      <c r="W161">
        <v>3700</v>
      </c>
      <c r="X161">
        <v>2049</v>
      </c>
      <c r="Y161" s="17"/>
      <c r="Z161">
        <v>100</v>
      </c>
      <c r="AA161">
        <v>12</v>
      </c>
      <c r="AB161">
        <v>41</v>
      </c>
      <c r="AC161">
        <v>417</v>
      </c>
      <c r="AI161">
        <f>12+1+4</f>
        <v>17</v>
      </c>
      <c r="AJ161">
        <v>3</v>
      </c>
    </row>
    <row r="162" spans="1:36" ht="15">
      <c r="A162">
        <v>1931</v>
      </c>
      <c r="B162" t="s">
        <v>102</v>
      </c>
      <c r="C162" s="12" t="s">
        <v>471</v>
      </c>
      <c r="E162" s="3"/>
      <c r="G162">
        <v>2</v>
      </c>
      <c r="H162">
        <v>145</v>
      </c>
      <c r="I162">
        <v>95</v>
      </c>
      <c r="J162">
        <v>59</v>
      </c>
      <c r="P162">
        <v>400</v>
      </c>
      <c r="S162">
        <v>16500</v>
      </c>
      <c r="V162">
        <v>5749</v>
      </c>
      <c r="W162">
        <v>3700</v>
      </c>
      <c r="X162">
        <v>2049</v>
      </c>
      <c r="Y162" s="17"/>
      <c r="Z162">
        <v>100</v>
      </c>
      <c r="AA162">
        <v>12</v>
      </c>
      <c r="AB162">
        <v>41</v>
      </c>
      <c r="AC162">
        <v>417</v>
      </c>
      <c r="AI162">
        <v>16</v>
      </c>
      <c r="AJ162">
        <v>3</v>
      </c>
    </row>
    <row r="163" spans="1:44" ht="15">
      <c r="A163">
        <v>1931</v>
      </c>
      <c r="B163" t="s">
        <v>278</v>
      </c>
      <c r="C163" s="12" t="s">
        <v>472</v>
      </c>
      <c r="D163" t="s">
        <v>366</v>
      </c>
      <c r="E163" s="3" t="s">
        <v>473</v>
      </c>
      <c r="F163">
        <v>300</v>
      </c>
      <c r="G163">
        <v>1</v>
      </c>
      <c r="H163">
        <v>150</v>
      </c>
      <c r="I163">
        <v>122</v>
      </c>
      <c r="K163">
        <v>50</v>
      </c>
      <c r="L163">
        <v>50</v>
      </c>
      <c r="R163">
        <v>1100</v>
      </c>
      <c r="V163">
        <v>4000</v>
      </c>
      <c r="W163">
        <v>2294</v>
      </c>
      <c r="X163">
        <v>1706</v>
      </c>
      <c r="Y163" s="17">
        <v>12500</v>
      </c>
      <c r="Z163">
        <v>80</v>
      </c>
      <c r="AA163">
        <v>8</v>
      </c>
      <c r="AB163">
        <v>35</v>
      </c>
      <c r="AC163">
        <v>278</v>
      </c>
      <c r="AJ163">
        <v>39</v>
      </c>
      <c r="AQ163">
        <v>14.4</v>
      </c>
      <c r="AR163">
        <v>13.3</v>
      </c>
    </row>
    <row r="164" spans="1:39" ht="15">
      <c r="A164">
        <v>1931</v>
      </c>
      <c r="B164" t="s">
        <v>474</v>
      </c>
      <c r="C164" s="12" t="s">
        <v>475</v>
      </c>
      <c r="D164" t="s">
        <v>476</v>
      </c>
      <c r="E164" s="3" t="s">
        <v>477</v>
      </c>
      <c r="F164">
        <v>37</v>
      </c>
      <c r="G164">
        <v>2</v>
      </c>
      <c r="H164">
        <v>80</v>
      </c>
      <c r="I164">
        <v>68</v>
      </c>
      <c r="J164">
        <v>28</v>
      </c>
      <c r="K164">
        <v>28</v>
      </c>
      <c r="L164">
        <v>28</v>
      </c>
      <c r="M164">
        <v>40</v>
      </c>
      <c r="N164">
        <v>120</v>
      </c>
      <c r="O164">
        <v>204</v>
      </c>
      <c r="P164">
        <v>180</v>
      </c>
      <c r="Q164">
        <v>3</v>
      </c>
      <c r="R164">
        <v>450</v>
      </c>
      <c r="S164">
        <v>12000</v>
      </c>
      <c r="V164">
        <v>925</v>
      </c>
      <c r="W164">
        <v>532</v>
      </c>
      <c r="X164">
        <v>393</v>
      </c>
      <c r="Y164" s="17">
        <v>1325</v>
      </c>
      <c r="Z164">
        <v>9</v>
      </c>
      <c r="AA164">
        <v>1</v>
      </c>
      <c r="AB164">
        <f>35+(2.5/12)</f>
        <v>35.208333333333336</v>
      </c>
      <c r="AC164">
        <v>184</v>
      </c>
      <c r="AI164">
        <v>348</v>
      </c>
      <c r="AJ164" t="s">
        <v>478</v>
      </c>
      <c r="AK164" t="s">
        <v>479</v>
      </c>
      <c r="AL164" t="s">
        <v>84</v>
      </c>
      <c r="AM164">
        <v>455</v>
      </c>
    </row>
    <row r="165" spans="1:36" ht="15">
      <c r="A165">
        <v>1931</v>
      </c>
      <c r="B165" t="s">
        <v>187</v>
      </c>
      <c r="C165" s="12" t="s">
        <v>480</v>
      </c>
      <c r="E165" t="s">
        <v>481</v>
      </c>
      <c r="F165">
        <v>165</v>
      </c>
      <c r="G165">
        <v>4</v>
      </c>
      <c r="H165">
        <v>116</v>
      </c>
      <c r="I165">
        <v>102</v>
      </c>
      <c r="O165">
        <v>400</v>
      </c>
      <c r="V165">
        <v>2581</v>
      </c>
      <c r="X165">
        <v>977</v>
      </c>
      <c r="Y165" s="17">
        <v>5985</v>
      </c>
      <c r="Z165">
        <v>40</v>
      </c>
      <c r="AJ165">
        <v>1</v>
      </c>
    </row>
    <row r="166" spans="1:40" ht="15">
      <c r="A166">
        <v>1932</v>
      </c>
      <c r="B166" t="s">
        <v>482</v>
      </c>
      <c r="C166" s="12" t="s">
        <v>483</v>
      </c>
      <c r="D166" s="3" t="s">
        <v>484</v>
      </c>
      <c r="E166" s="3" t="s">
        <v>485</v>
      </c>
      <c r="F166">
        <v>420</v>
      </c>
      <c r="G166">
        <v>5</v>
      </c>
      <c r="H166">
        <v>201.2</v>
      </c>
      <c r="I166">
        <v>180</v>
      </c>
      <c r="J166">
        <v>160</v>
      </c>
      <c r="O166">
        <v>960</v>
      </c>
      <c r="X166">
        <v>1800</v>
      </c>
      <c r="Y166" s="17">
        <v>19000</v>
      </c>
      <c r="AB166">
        <f>34+4/12</f>
        <v>34.333333333333336</v>
      </c>
      <c r="AI166">
        <v>2</v>
      </c>
      <c r="AJ166" t="s">
        <v>486</v>
      </c>
      <c r="AN166" t="s">
        <v>487</v>
      </c>
    </row>
    <row r="167" spans="1:40" ht="15">
      <c r="A167">
        <v>1932</v>
      </c>
      <c r="B167" t="s">
        <v>308</v>
      </c>
      <c r="C167" s="12" t="s">
        <v>488</v>
      </c>
      <c r="D167" s="3"/>
      <c r="E167" s="3" t="s">
        <v>489</v>
      </c>
      <c r="F167">
        <v>125</v>
      </c>
      <c r="G167">
        <v>1</v>
      </c>
      <c r="H167">
        <v>176.5</v>
      </c>
      <c r="Y167" s="17"/>
      <c r="AB167">
        <v>18.5</v>
      </c>
      <c r="AI167">
        <v>1</v>
      </c>
      <c r="AJ167">
        <v>35</v>
      </c>
      <c r="AN167" t="s">
        <v>490</v>
      </c>
    </row>
    <row r="168" spans="1:38" ht="15">
      <c r="A168">
        <v>1932</v>
      </c>
      <c r="B168" t="s">
        <v>95</v>
      </c>
      <c r="C168" s="12" t="s">
        <v>491</v>
      </c>
      <c r="D168" t="s">
        <v>492</v>
      </c>
      <c r="E168" t="s">
        <v>493</v>
      </c>
      <c r="F168">
        <v>438</v>
      </c>
      <c r="G168">
        <v>1</v>
      </c>
      <c r="H168">
        <v>178</v>
      </c>
      <c r="I168">
        <v>125</v>
      </c>
      <c r="K168">
        <v>63</v>
      </c>
      <c r="P168" t="s">
        <v>91</v>
      </c>
      <c r="S168">
        <v>19200</v>
      </c>
      <c r="V168">
        <v>2779</v>
      </c>
      <c r="W168">
        <v>2079</v>
      </c>
      <c r="X168">
        <v>700</v>
      </c>
      <c r="Y168" s="17"/>
      <c r="Z168">
        <v>43</v>
      </c>
      <c r="AA168">
        <v>3.5</v>
      </c>
      <c r="AB168">
        <v>25.5</v>
      </c>
      <c r="AC168">
        <v>172.8</v>
      </c>
      <c r="AJ168">
        <v>2</v>
      </c>
      <c r="AK168" t="s">
        <v>494</v>
      </c>
      <c r="AL168" t="s">
        <v>84</v>
      </c>
    </row>
    <row r="169" spans="1:36" ht="15">
      <c r="A169">
        <v>1932</v>
      </c>
      <c r="B169" s="3" t="s">
        <v>495</v>
      </c>
      <c r="C169" s="12" t="s">
        <v>496</v>
      </c>
      <c r="E169" t="s">
        <v>497</v>
      </c>
      <c r="F169">
        <v>630</v>
      </c>
      <c r="G169">
        <v>6</v>
      </c>
      <c r="I169">
        <v>189.5</v>
      </c>
      <c r="P169">
        <v>621</v>
      </c>
      <c r="V169">
        <v>7628</v>
      </c>
      <c r="Y169" s="17"/>
      <c r="AB169">
        <f>48+6.5/12</f>
        <v>48.541666666666664</v>
      </c>
      <c r="AI169">
        <f>28+296</f>
        <v>324</v>
      </c>
      <c r="AJ169">
        <v>28</v>
      </c>
    </row>
    <row r="170" spans="1:38" ht="15">
      <c r="A170">
        <v>1932</v>
      </c>
      <c r="B170" t="s">
        <v>411</v>
      </c>
      <c r="C170" s="12" t="s">
        <v>498</v>
      </c>
      <c r="D170" s="3" t="s">
        <v>499</v>
      </c>
      <c r="E170" s="3" t="s">
        <v>500</v>
      </c>
      <c r="F170">
        <v>200</v>
      </c>
      <c r="G170">
        <v>1</v>
      </c>
      <c r="H170">
        <v>241.6</v>
      </c>
      <c r="I170">
        <v>175</v>
      </c>
      <c r="J170">
        <v>70</v>
      </c>
      <c r="V170">
        <v>1194</v>
      </c>
      <c r="W170">
        <v>919</v>
      </c>
      <c r="X170">
        <v>275</v>
      </c>
      <c r="Y170" s="17"/>
      <c r="AB170">
        <f>20+1/12</f>
        <v>20.083333333333332</v>
      </c>
      <c r="AI170">
        <v>1</v>
      </c>
      <c r="AJ170">
        <v>3</v>
      </c>
      <c r="AK170" t="s">
        <v>386</v>
      </c>
      <c r="AL170" t="s">
        <v>84</v>
      </c>
    </row>
    <row r="171" spans="1:38" ht="15">
      <c r="A171">
        <v>1932</v>
      </c>
      <c r="B171" t="s">
        <v>411</v>
      </c>
      <c r="C171" s="12" t="s">
        <v>501</v>
      </c>
      <c r="D171" s="3" t="s">
        <v>502</v>
      </c>
      <c r="E171" s="3" t="s">
        <v>500</v>
      </c>
      <c r="F171">
        <v>200</v>
      </c>
      <c r="G171">
        <v>1</v>
      </c>
      <c r="H171">
        <v>241.6</v>
      </c>
      <c r="I171">
        <v>175</v>
      </c>
      <c r="J171">
        <v>70</v>
      </c>
      <c r="V171">
        <v>1194</v>
      </c>
      <c r="W171">
        <v>919</v>
      </c>
      <c r="X171">
        <v>275</v>
      </c>
      <c r="Y171" s="17"/>
      <c r="AB171">
        <f>20+1/12</f>
        <v>20.083333333333332</v>
      </c>
      <c r="AI171">
        <v>1</v>
      </c>
      <c r="AJ171">
        <v>3</v>
      </c>
      <c r="AK171" t="s">
        <v>503</v>
      </c>
      <c r="AL171" t="s">
        <v>84</v>
      </c>
    </row>
    <row r="172" spans="1:36" ht="15">
      <c r="A172">
        <v>1932</v>
      </c>
      <c r="B172" t="s">
        <v>187</v>
      </c>
      <c r="C172" s="12" t="s">
        <v>504</v>
      </c>
      <c r="D172" s="3"/>
      <c r="E172" s="3" t="s">
        <v>481</v>
      </c>
      <c r="F172">
        <v>210</v>
      </c>
      <c r="Y172" s="17">
        <v>5885</v>
      </c>
      <c r="AJ172">
        <v>1</v>
      </c>
    </row>
    <row r="173" spans="1:36" ht="15">
      <c r="A173">
        <v>1933</v>
      </c>
      <c r="B173" t="s">
        <v>505</v>
      </c>
      <c r="C173" s="12" t="s">
        <v>506</v>
      </c>
      <c r="E173" t="s">
        <v>507</v>
      </c>
      <c r="F173">
        <v>420</v>
      </c>
      <c r="G173">
        <v>2</v>
      </c>
      <c r="H173">
        <v>142</v>
      </c>
      <c r="I173">
        <v>118</v>
      </c>
      <c r="J173">
        <v>58</v>
      </c>
      <c r="O173" t="s">
        <v>91</v>
      </c>
      <c r="P173">
        <v>400</v>
      </c>
      <c r="S173">
        <v>14200</v>
      </c>
      <c r="V173">
        <v>3629</v>
      </c>
      <c r="W173">
        <v>3104</v>
      </c>
      <c r="X173">
        <v>525</v>
      </c>
      <c r="Y173" s="17"/>
      <c r="AB173">
        <f>33+8/12</f>
        <v>33.666666666666664</v>
      </c>
      <c r="AI173">
        <v>38</v>
      </c>
      <c r="AJ173" t="s">
        <v>508</v>
      </c>
    </row>
    <row r="174" spans="1:38" ht="15">
      <c r="A174">
        <v>1933</v>
      </c>
      <c r="B174" t="s">
        <v>160</v>
      </c>
      <c r="C174" s="12" t="s">
        <v>509</v>
      </c>
      <c r="E174" t="s">
        <v>510</v>
      </c>
      <c r="F174">
        <v>550</v>
      </c>
      <c r="G174">
        <v>1</v>
      </c>
      <c r="H174">
        <v>239</v>
      </c>
      <c r="K174">
        <v>70</v>
      </c>
      <c r="R174">
        <v>2600</v>
      </c>
      <c r="T174">
        <v>29200</v>
      </c>
      <c r="V174">
        <v>3579</v>
      </c>
      <c r="W174">
        <v>2697</v>
      </c>
      <c r="X174">
        <v>882</v>
      </c>
      <c r="Y174" s="17"/>
      <c r="Z174">
        <f>66+46</f>
        <v>112</v>
      </c>
      <c r="AJ174">
        <v>2</v>
      </c>
      <c r="AK174" t="s">
        <v>511</v>
      </c>
      <c r="AL174" t="s">
        <v>84</v>
      </c>
    </row>
    <row r="175" spans="1:40" ht="15">
      <c r="A175">
        <v>1933</v>
      </c>
      <c r="B175" t="s">
        <v>308</v>
      </c>
      <c r="C175" s="12" t="s">
        <v>512</v>
      </c>
      <c r="E175" t="s">
        <v>513</v>
      </c>
      <c r="F175">
        <v>145</v>
      </c>
      <c r="G175">
        <v>1</v>
      </c>
      <c r="H175">
        <v>202.88</v>
      </c>
      <c r="Y175" s="17"/>
      <c r="AB175">
        <v>18.5</v>
      </c>
      <c r="AI175">
        <v>1</v>
      </c>
      <c r="AJ175">
        <v>35</v>
      </c>
      <c r="AN175" t="s">
        <v>514</v>
      </c>
    </row>
    <row r="176" spans="1:38" ht="15">
      <c r="A176">
        <v>1933</v>
      </c>
      <c r="B176" s="3" t="s">
        <v>515</v>
      </c>
      <c r="C176" s="12" t="s">
        <v>516</v>
      </c>
      <c r="E176" t="s">
        <v>517</v>
      </c>
      <c r="F176">
        <v>700</v>
      </c>
      <c r="G176">
        <v>11</v>
      </c>
      <c r="H176">
        <v>190</v>
      </c>
      <c r="I176">
        <v>170</v>
      </c>
      <c r="J176">
        <v>63</v>
      </c>
      <c r="P176">
        <v>850</v>
      </c>
      <c r="R176">
        <v>1100</v>
      </c>
      <c r="S176">
        <v>18000</v>
      </c>
      <c r="V176">
        <v>8500</v>
      </c>
      <c r="W176">
        <v>5300</v>
      </c>
      <c r="X176">
        <v>3200</v>
      </c>
      <c r="Y176" s="17"/>
      <c r="Z176">
        <v>176</v>
      </c>
      <c r="AB176">
        <f>53+4/12</f>
        <v>53.333333333333336</v>
      </c>
      <c r="AC176">
        <v>464</v>
      </c>
      <c r="AJ176">
        <v>2</v>
      </c>
      <c r="AK176" t="s">
        <v>83</v>
      </c>
      <c r="AL176" t="s">
        <v>84</v>
      </c>
    </row>
    <row r="177" spans="1:38" ht="15">
      <c r="A177">
        <v>1933</v>
      </c>
      <c r="B177" t="s">
        <v>518</v>
      </c>
      <c r="C177" s="12" t="s">
        <v>519</v>
      </c>
      <c r="E177" s="3" t="s">
        <v>520</v>
      </c>
      <c r="F177">
        <v>750</v>
      </c>
      <c r="G177">
        <v>2</v>
      </c>
      <c r="H177">
        <v>207</v>
      </c>
      <c r="I177">
        <v>180</v>
      </c>
      <c r="P177">
        <v>647</v>
      </c>
      <c r="R177">
        <v>1600</v>
      </c>
      <c r="S177">
        <v>22000</v>
      </c>
      <c r="V177">
        <v>4800</v>
      </c>
      <c r="W177">
        <v>3221</v>
      </c>
      <c r="X177">
        <v>1579</v>
      </c>
      <c r="Y177" s="17"/>
      <c r="AB177">
        <v>34.5</v>
      </c>
      <c r="AC177">
        <v>295</v>
      </c>
      <c r="AI177">
        <v>27</v>
      </c>
      <c r="AJ177" t="s">
        <v>508</v>
      </c>
      <c r="AK177" t="s">
        <v>521</v>
      </c>
      <c r="AL177" t="s">
        <v>84</v>
      </c>
    </row>
    <row r="178" spans="1:36" ht="15">
      <c r="A178">
        <v>1933</v>
      </c>
      <c r="B178" t="s">
        <v>187</v>
      </c>
      <c r="C178" s="12" t="s">
        <v>522</v>
      </c>
      <c r="E178" s="3" t="s">
        <v>481</v>
      </c>
      <c r="F178">
        <v>210</v>
      </c>
      <c r="I178">
        <v>115</v>
      </c>
      <c r="Y178" s="17">
        <v>5985</v>
      </c>
      <c r="Z178">
        <v>70</v>
      </c>
      <c r="AJ178">
        <v>1</v>
      </c>
    </row>
    <row r="179" spans="1:38" ht="15">
      <c r="A179">
        <v>1934</v>
      </c>
      <c r="B179" t="s">
        <v>388</v>
      </c>
      <c r="C179" s="12" t="s">
        <v>523</v>
      </c>
      <c r="D179" s="3" t="s">
        <v>91</v>
      </c>
      <c r="E179" t="s">
        <v>524</v>
      </c>
      <c r="F179">
        <v>36</v>
      </c>
      <c r="G179">
        <v>2</v>
      </c>
      <c r="H179">
        <v>82</v>
      </c>
      <c r="I179">
        <v>70</v>
      </c>
      <c r="J179">
        <v>35</v>
      </c>
      <c r="O179" t="s">
        <v>91</v>
      </c>
      <c r="P179">
        <v>200</v>
      </c>
      <c r="R179">
        <v>450</v>
      </c>
      <c r="S179">
        <v>12000</v>
      </c>
      <c r="V179">
        <v>900</v>
      </c>
      <c r="W179">
        <v>466</v>
      </c>
      <c r="X179">
        <f>48+6+170+170+20</f>
        <v>414</v>
      </c>
      <c r="Y179" s="17"/>
      <c r="Z179">
        <v>8</v>
      </c>
      <c r="AA179">
        <v>0.75</v>
      </c>
      <c r="AB179">
        <v>36</v>
      </c>
      <c r="AC179">
        <v>142.2</v>
      </c>
      <c r="AJ179">
        <v>2</v>
      </c>
      <c r="AK179" t="s">
        <v>83</v>
      </c>
      <c r="AL179" t="s">
        <v>84</v>
      </c>
    </row>
    <row r="180" spans="1:40" ht="15">
      <c r="A180">
        <v>1934</v>
      </c>
      <c r="B180" t="s">
        <v>482</v>
      </c>
      <c r="C180" s="12" t="s">
        <v>525</v>
      </c>
      <c r="D180" s="3" t="s">
        <v>484</v>
      </c>
      <c r="E180" s="3" t="s">
        <v>526</v>
      </c>
      <c r="F180">
        <v>690</v>
      </c>
      <c r="G180">
        <v>4</v>
      </c>
      <c r="H180">
        <v>240</v>
      </c>
      <c r="I180">
        <v>212</v>
      </c>
      <c r="J180">
        <v>65</v>
      </c>
      <c r="O180">
        <v>780</v>
      </c>
      <c r="S180">
        <v>18500</v>
      </c>
      <c r="X180">
        <v>1915</v>
      </c>
      <c r="Y180" s="17">
        <v>24500</v>
      </c>
      <c r="Z180">
        <v>155</v>
      </c>
      <c r="AB180">
        <v>34.5</v>
      </c>
      <c r="AI180">
        <v>1</v>
      </c>
      <c r="AJ180" t="s">
        <v>486</v>
      </c>
      <c r="AN180" t="s">
        <v>487</v>
      </c>
    </row>
    <row r="181" spans="1:36" ht="15">
      <c r="A181">
        <v>1934</v>
      </c>
      <c r="B181" t="s">
        <v>482</v>
      </c>
      <c r="C181" s="12" t="s">
        <v>527</v>
      </c>
      <c r="D181" t="s">
        <v>484</v>
      </c>
      <c r="E181" t="s">
        <v>528</v>
      </c>
      <c r="F181">
        <v>225</v>
      </c>
      <c r="G181">
        <v>5</v>
      </c>
      <c r="H181">
        <v>166</v>
      </c>
      <c r="I181">
        <v>152</v>
      </c>
      <c r="J181">
        <v>45</v>
      </c>
      <c r="O181">
        <v>560</v>
      </c>
      <c r="S181">
        <v>15500</v>
      </c>
      <c r="X181">
        <v>1350</v>
      </c>
      <c r="Y181" s="17">
        <v>8000</v>
      </c>
      <c r="AI181">
        <v>45</v>
      </c>
      <c r="AJ181" t="s">
        <v>529</v>
      </c>
    </row>
    <row r="182" spans="1:36" ht="15">
      <c r="A182">
        <v>1934</v>
      </c>
      <c r="B182" t="s">
        <v>505</v>
      </c>
      <c r="C182" s="12" t="s">
        <v>530</v>
      </c>
      <c r="E182" t="s">
        <v>531</v>
      </c>
      <c r="F182">
        <v>625</v>
      </c>
      <c r="G182">
        <v>1</v>
      </c>
      <c r="H182">
        <v>210</v>
      </c>
      <c r="O182" t="s">
        <v>91</v>
      </c>
      <c r="P182">
        <v>650</v>
      </c>
      <c r="R182">
        <v>1830</v>
      </c>
      <c r="S182">
        <v>24600</v>
      </c>
      <c r="T182">
        <v>25600</v>
      </c>
      <c r="V182">
        <v>3965</v>
      </c>
      <c r="W182">
        <v>2765</v>
      </c>
      <c r="X182">
        <v>1200</v>
      </c>
      <c r="Y182" s="17"/>
      <c r="AB182">
        <v>29</v>
      </c>
      <c r="AC182">
        <v>239.6</v>
      </c>
      <c r="AJ182">
        <v>2</v>
      </c>
    </row>
    <row r="183" spans="1:38" ht="15">
      <c r="A183">
        <v>1934</v>
      </c>
      <c r="B183" t="s">
        <v>254</v>
      </c>
      <c r="C183" s="12" t="s">
        <v>532</v>
      </c>
      <c r="D183" s="3"/>
      <c r="E183" t="s">
        <v>533</v>
      </c>
      <c r="F183">
        <v>625</v>
      </c>
      <c r="G183">
        <v>2</v>
      </c>
      <c r="H183">
        <v>1153.8</v>
      </c>
      <c r="I183">
        <v>133</v>
      </c>
      <c r="J183">
        <v>62</v>
      </c>
      <c r="K183">
        <v>60</v>
      </c>
      <c r="R183">
        <v>1230</v>
      </c>
      <c r="S183">
        <v>20200</v>
      </c>
      <c r="T183">
        <v>21000</v>
      </c>
      <c r="V183">
        <v>4896</v>
      </c>
      <c r="W183">
        <v>3489</v>
      </c>
      <c r="X183">
        <v>1407</v>
      </c>
      <c r="Y183" s="17"/>
      <c r="Z183">
        <v>146.5</v>
      </c>
      <c r="AA183">
        <v>14</v>
      </c>
      <c r="AB183">
        <v>40</v>
      </c>
      <c r="AC183">
        <v>362</v>
      </c>
      <c r="AJ183">
        <v>2</v>
      </c>
      <c r="AK183" t="s">
        <v>324</v>
      </c>
      <c r="AL183" t="s">
        <v>84</v>
      </c>
    </row>
    <row r="184" spans="1:36" ht="15">
      <c r="A184">
        <v>1934</v>
      </c>
      <c r="B184" t="s">
        <v>270</v>
      </c>
      <c r="C184" s="12" t="s">
        <v>534</v>
      </c>
      <c r="D184" s="3"/>
      <c r="E184" t="s">
        <v>535</v>
      </c>
      <c r="F184">
        <v>145</v>
      </c>
      <c r="I184">
        <v>120</v>
      </c>
      <c r="J184">
        <v>49</v>
      </c>
      <c r="O184">
        <v>500</v>
      </c>
      <c r="X184">
        <v>796</v>
      </c>
      <c r="Y184" s="17">
        <v>4000</v>
      </c>
      <c r="AJ184">
        <v>1</v>
      </c>
    </row>
    <row r="185" spans="1:40" ht="15">
      <c r="A185">
        <v>1934</v>
      </c>
      <c r="B185" s="3" t="s">
        <v>411</v>
      </c>
      <c r="C185" s="12" t="s">
        <v>536</v>
      </c>
      <c r="D185" t="s">
        <v>537</v>
      </c>
      <c r="E185" s="3" t="s">
        <v>538</v>
      </c>
      <c r="F185">
        <v>830</v>
      </c>
      <c r="G185">
        <v>2</v>
      </c>
      <c r="H185">
        <v>287</v>
      </c>
      <c r="I185">
        <v>292</v>
      </c>
      <c r="J185">
        <v>64</v>
      </c>
      <c r="K185">
        <v>65</v>
      </c>
      <c r="L185">
        <v>70</v>
      </c>
      <c r="R185">
        <v>4450</v>
      </c>
      <c r="U185">
        <v>5300</v>
      </c>
      <c r="V185">
        <v>4100</v>
      </c>
      <c r="W185">
        <v>2600</v>
      </c>
      <c r="X185">
        <v>1500</v>
      </c>
      <c r="Y185" s="17"/>
      <c r="Z185">
        <f>100+25+25</f>
        <v>150</v>
      </c>
      <c r="AA185">
        <v>30</v>
      </c>
      <c r="AB185">
        <f>31+8/12</f>
        <v>31.666666666666668</v>
      </c>
      <c r="AC185">
        <v>150.7</v>
      </c>
      <c r="AI185">
        <v>1</v>
      </c>
      <c r="AJ185">
        <v>3</v>
      </c>
      <c r="AK185" t="s">
        <v>539</v>
      </c>
      <c r="AL185" t="s">
        <v>84</v>
      </c>
      <c r="AN185" t="s">
        <v>540</v>
      </c>
    </row>
    <row r="186" spans="1:36" ht="15">
      <c r="A186">
        <v>1934</v>
      </c>
      <c r="B186" s="3" t="s">
        <v>541</v>
      </c>
      <c r="C186" s="12" t="s">
        <v>309</v>
      </c>
      <c r="H186">
        <v>145</v>
      </c>
      <c r="Y186" s="17">
        <v>6000</v>
      </c>
      <c r="AI186">
        <v>22</v>
      </c>
      <c r="AJ186">
        <v>1</v>
      </c>
    </row>
    <row r="187" spans="1:36" ht="15" customHeight="1">
      <c r="A187">
        <v>1934</v>
      </c>
      <c r="B187" s="3" t="s">
        <v>426</v>
      </c>
      <c r="C187" s="12" t="s">
        <v>542</v>
      </c>
      <c r="E187" t="s">
        <v>535</v>
      </c>
      <c r="F187">
        <v>145</v>
      </c>
      <c r="I187">
        <v>145</v>
      </c>
      <c r="Y187" s="17"/>
      <c r="AI187">
        <v>28</v>
      </c>
      <c r="AJ187">
        <v>1</v>
      </c>
    </row>
    <row r="188" spans="1:38" ht="15">
      <c r="A188">
        <v>1934</v>
      </c>
      <c r="B188" t="s">
        <v>543</v>
      </c>
      <c r="C188" s="12" t="s">
        <v>544</v>
      </c>
      <c r="E188" s="3" t="s">
        <v>545</v>
      </c>
      <c r="F188">
        <v>735</v>
      </c>
      <c r="G188">
        <v>10</v>
      </c>
      <c r="H188">
        <v>235</v>
      </c>
      <c r="I188">
        <v>215</v>
      </c>
      <c r="K188">
        <v>60</v>
      </c>
      <c r="P188">
        <v>900</v>
      </c>
      <c r="R188">
        <v>1000</v>
      </c>
      <c r="S188">
        <v>20000</v>
      </c>
      <c r="T188">
        <v>22000</v>
      </c>
      <c r="V188">
        <v>8500</v>
      </c>
      <c r="W188">
        <v>5307</v>
      </c>
      <c r="X188">
        <f>8500-5307</f>
        <v>3193</v>
      </c>
      <c r="Y188" s="17">
        <v>35000</v>
      </c>
      <c r="Z188">
        <v>206</v>
      </c>
      <c r="AA188">
        <v>15</v>
      </c>
      <c r="AB188">
        <v>50</v>
      </c>
      <c r="AI188">
        <v>25</v>
      </c>
      <c r="AJ188" t="s">
        <v>546</v>
      </c>
      <c r="AK188" t="s">
        <v>547</v>
      </c>
      <c r="AL188" t="s">
        <v>84</v>
      </c>
    </row>
    <row r="189" spans="1:38" ht="15">
      <c r="A189">
        <v>1934</v>
      </c>
      <c r="B189" t="s">
        <v>187</v>
      </c>
      <c r="C189" s="12" t="s">
        <v>548</v>
      </c>
      <c r="D189" s="3"/>
      <c r="E189" s="3" t="s">
        <v>549</v>
      </c>
      <c r="F189">
        <v>210</v>
      </c>
      <c r="G189">
        <v>3</v>
      </c>
      <c r="H189">
        <v>143</v>
      </c>
      <c r="I189">
        <v>128</v>
      </c>
      <c r="J189">
        <v>47</v>
      </c>
      <c r="P189">
        <v>450</v>
      </c>
      <c r="R189">
        <v>1100</v>
      </c>
      <c r="S189">
        <v>14500</v>
      </c>
      <c r="V189">
        <v>2500</v>
      </c>
      <c r="W189">
        <v>1485</v>
      </c>
      <c r="X189">
        <v>1015</v>
      </c>
      <c r="Y189" s="17"/>
      <c r="Z189">
        <v>50</v>
      </c>
      <c r="AA189">
        <v>5</v>
      </c>
      <c r="AB189">
        <v>30</v>
      </c>
      <c r="AC189">
        <v>233.5</v>
      </c>
      <c r="AJ189">
        <v>3</v>
      </c>
      <c r="AK189" t="s">
        <v>83</v>
      </c>
      <c r="AL189" t="s">
        <v>84</v>
      </c>
    </row>
    <row r="190" spans="1:38" ht="15">
      <c r="A190">
        <v>1934</v>
      </c>
      <c r="B190" t="s">
        <v>187</v>
      </c>
      <c r="C190" s="12" t="s">
        <v>550</v>
      </c>
      <c r="D190" s="3"/>
      <c r="E190" s="3" t="s">
        <v>528</v>
      </c>
      <c r="F190">
        <v>225</v>
      </c>
      <c r="G190">
        <v>3</v>
      </c>
      <c r="H190">
        <v>147</v>
      </c>
      <c r="I190">
        <v>129</v>
      </c>
      <c r="J190">
        <v>47</v>
      </c>
      <c r="P190">
        <v>430</v>
      </c>
      <c r="R190">
        <v>1250</v>
      </c>
      <c r="S190">
        <v>16000</v>
      </c>
      <c r="V190">
        <v>2500</v>
      </c>
      <c r="W190">
        <v>1540</v>
      </c>
      <c r="X190">
        <v>960</v>
      </c>
      <c r="Y190" s="17"/>
      <c r="Z190">
        <v>50</v>
      </c>
      <c r="AA190">
        <v>5</v>
      </c>
      <c r="AB190">
        <v>30</v>
      </c>
      <c r="AC190">
        <v>233.5</v>
      </c>
      <c r="AJ190">
        <v>3</v>
      </c>
      <c r="AK190" t="s">
        <v>83</v>
      </c>
      <c r="AL190" t="s">
        <v>84</v>
      </c>
    </row>
    <row r="191" spans="1:38" ht="15">
      <c r="A191">
        <v>1935</v>
      </c>
      <c r="B191" t="s">
        <v>388</v>
      </c>
      <c r="C191" s="12" t="s">
        <v>551</v>
      </c>
      <c r="D191" t="s">
        <v>91</v>
      </c>
      <c r="E191" t="s">
        <v>552</v>
      </c>
      <c r="F191">
        <v>36</v>
      </c>
      <c r="G191">
        <v>2</v>
      </c>
      <c r="H191">
        <v>93</v>
      </c>
      <c r="I191">
        <v>85</v>
      </c>
      <c r="J191">
        <v>35</v>
      </c>
      <c r="O191" t="s">
        <v>91</v>
      </c>
      <c r="P191">
        <v>200</v>
      </c>
      <c r="R191">
        <v>450</v>
      </c>
      <c r="S191">
        <v>12000</v>
      </c>
      <c r="V191">
        <v>1006</v>
      </c>
      <c r="W191">
        <v>569</v>
      </c>
      <c r="X191">
        <v>437</v>
      </c>
      <c r="Y191" s="17"/>
      <c r="Z191">
        <v>8</v>
      </c>
      <c r="AA191">
        <v>0.75</v>
      </c>
      <c r="AB191">
        <v>36</v>
      </c>
      <c r="AC191">
        <v>142.2</v>
      </c>
      <c r="AJ191">
        <v>2</v>
      </c>
      <c r="AK191" t="s">
        <v>83</v>
      </c>
      <c r="AL191" t="s">
        <v>84</v>
      </c>
    </row>
    <row r="192" spans="1:38" ht="15">
      <c r="A192">
        <v>1935</v>
      </c>
      <c r="B192" t="s">
        <v>388</v>
      </c>
      <c r="C192" s="12" t="s">
        <v>553</v>
      </c>
      <c r="E192" t="s">
        <v>554</v>
      </c>
      <c r="F192">
        <v>70</v>
      </c>
      <c r="G192">
        <v>2</v>
      </c>
      <c r="H192">
        <v>115</v>
      </c>
      <c r="I192">
        <v>100</v>
      </c>
      <c r="J192">
        <v>42</v>
      </c>
      <c r="O192" t="s">
        <v>91</v>
      </c>
      <c r="P192">
        <v>500</v>
      </c>
      <c r="R192">
        <v>450</v>
      </c>
      <c r="S192">
        <v>13000</v>
      </c>
      <c r="V192">
        <v>1680</v>
      </c>
      <c r="W192">
        <v>1021</v>
      </c>
      <c r="X192">
        <v>659</v>
      </c>
      <c r="Y192" s="17"/>
      <c r="Z192">
        <f>19+9</f>
        <v>28</v>
      </c>
      <c r="AA192">
        <v>2</v>
      </c>
      <c r="AB192">
        <v>36</v>
      </c>
      <c r="AC192">
        <v>150</v>
      </c>
      <c r="AJ192">
        <v>2</v>
      </c>
      <c r="AK192" t="s">
        <v>555</v>
      </c>
      <c r="AL192" t="s">
        <v>556</v>
      </c>
    </row>
    <row r="193" spans="1:38" ht="15">
      <c r="A193">
        <v>1935</v>
      </c>
      <c r="B193" t="s">
        <v>388</v>
      </c>
      <c r="C193" s="12" t="s">
        <v>557</v>
      </c>
      <c r="E193" t="s">
        <v>554</v>
      </c>
      <c r="F193">
        <v>85</v>
      </c>
      <c r="G193">
        <v>2</v>
      </c>
      <c r="H193">
        <v>120</v>
      </c>
      <c r="I193">
        <v>105</v>
      </c>
      <c r="J193">
        <v>42</v>
      </c>
      <c r="O193" t="s">
        <v>91</v>
      </c>
      <c r="P193">
        <v>500</v>
      </c>
      <c r="R193">
        <v>600</v>
      </c>
      <c r="S193">
        <v>16000</v>
      </c>
      <c r="V193">
        <v>1680</v>
      </c>
      <c r="W193">
        <v>1011</v>
      </c>
      <c r="X193">
        <v>669</v>
      </c>
      <c r="Y193" s="17"/>
      <c r="AB193">
        <v>36</v>
      </c>
      <c r="AC193">
        <v>150</v>
      </c>
      <c r="AJ193">
        <v>2</v>
      </c>
      <c r="AK193" t="s">
        <v>555</v>
      </c>
      <c r="AL193" t="s">
        <v>556</v>
      </c>
    </row>
    <row r="194" spans="1:40" ht="15">
      <c r="A194">
        <v>1935</v>
      </c>
      <c r="B194" t="s">
        <v>482</v>
      </c>
      <c r="C194" s="12" t="s">
        <v>558</v>
      </c>
      <c r="D194" s="3" t="s">
        <v>484</v>
      </c>
      <c r="E194" s="3" t="s">
        <v>559</v>
      </c>
      <c r="F194">
        <v>710</v>
      </c>
      <c r="G194">
        <v>5</v>
      </c>
      <c r="H194">
        <v>235</v>
      </c>
      <c r="I194">
        <v>215</v>
      </c>
      <c r="J194">
        <v>65</v>
      </c>
      <c r="O194">
        <v>750</v>
      </c>
      <c r="S194">
        <v>20000</v>
      </c>
      <c r="V194">
        <v>6000</v>
      </c>
      <c r="Y194" s="17">
        <v>30000</v>
      </c>
      <c r="AJ194" t="s">
        <v>486</v>
      </c>
      <c r="AN194" t="s">
        <v>487</v>
      </c>
    </row>
    <row r="195" spans="1:36" ht="15">
      <c r="A195">
        <v>1935</v>
      </c>
      <c r="B195" t="s">
        <v>308</v>
      </c>
      <c r="C195" s="12" t="s">
        <v>560</v>
      </c>
      <c r="D195" s="3"/>
      <c r="E195" s="3" t="s">
        <v>535</v>
      </c>
      <c r="F195">
        <v>145</v>
      </c>
      <c r="H195">
        <v>162</v>
      </c>
      <c r="I195">
        <v>143</v>
      </c>
      <c r="J195">
        <v>54</v>
      </c>
      <c r="O195">
        <v>550</v>
      </c>
      <c r="X195">
        <v>980</v>
      </c>
      <c r="Y195" s="17">
        <v>4985</v>
      </c>
      <c r="AJ195">
        <v>1</v>
      </c>
    </row>
    <row r="196" spans="1:38" ht="15">
      <c r="A196">
        <v>1935</v>
      </c>
      <c r="B196" t="s">
        <v>561</v>
      </c>
      <c r="C196" s="12" t="s">
        <v>562</v>
      </c>
      <c r="E196" t="s">
        <v>563</v>
      </c>
      <c r="F196">
        <v>900</v>
      </c>
      <c r="G196">
        <v>1</v>
      </c>
      <c r="H196">
        <v>352.4</v>
      </c>
      <c r="V196">
        <v>5492</v>
      </c>
      <c r="W196">
        <v>3564.5</v>
      </c>
      <c r="X196">
        <f>5492-3564.5</f>
        <v>1927.5</v>
      </c>
      <c r="Y196" s="17"/>
      <c r="Z196">
        <v>250</v>
      </c>
      <c r="AA196">
        <v>30</v>
      </c>
      <c r="AB196">
        <f>24+11/12</f>
        <v>24.916666666666668</v>
      </c>
      <c r="AC196">
        <v>138</v>
      </c>
      <c r="AI196">
        <v>1</v>
      </c>
      <c r="AJ196">
        <v>3</v>
      </c>
      <c r="AK196" t="s">
        <v>564</v>
      </c>
      <c r="AL196" t="s">
        <v>565</v>
      </c>
    </row>
    <row r="197" spans="1:38" ht="15">
      <c r="A197">
        <v>1935</v>
      </c>
      <c r="B197" t="s">
        <v>284</v>
      </c>
      <c r="C197" s="12" t="s">
        <v>566</v>
      </c>
      <c r="E197" t="s">
        <v>567</v>
      </c>
      <c r="F197">
        <v>125</v>
      </c>
      <c r="G197">
        <v>2</v>
      </c>
      <c r="H197">
        <v>150</v>
      </c>
      <c r="I197">
        <v>127</v>
      </c>
      <c r="J197">
        <v>60</v>
      </c>
      <c r="O197">
        <v>350</v>
      </c>
      <c r="R197">
        <v>1200</v>
      </c>
      <c r="S197">
        <v>17500</v>
      </c>
      <c r="V197">
        <v>1570</v>
      </c>
      <c r="W197">
        <v>1035</v>
      </c>
      <c r="X197">
        <v>543</v>
      </c>
      <c r="Y197" s="17">
        <v>4685</v>
      </c>
      <c r="Z197">
        <v>24</v>
      </c>
      <c r="AA197">
        <v>2</v>
      </c>
      <c r="AB197">
        <v>30</v>
      </c>
      <c r="AC197">
        <v>124</v>
      </c>
      <c r="AJ197" t="s">
        <v>568</v>
      </c>
      <c r="AK197" t="s">
        <v>539</v>
      </c>
      <c r="AL197" t="s">
        <v>84</v>
      </c>
    </row>
    <row r="198" spans="1:36" ht="15">
      <c r="A198">
        <v>1935</v>
      </c>
      <c r="B198" t="s">
        <v>187</v>
      </c>
      <c r="C198" s="12" t="s">
        <v>569</v>
      </c>
      <c r="E198" t="s">
        <v>570</v>
      </c>
      <c r="F198">
        <v>225</v>
      </c>
      <c r="G198">
        <v>4</v>
      </c>
      <c r="H198">
        <v>149</v>
      </c>
      <c r="I198">
        <v>130</v>
      </c>
      <c r="O198">
        <v>480</v>
      </c>
      <c r="V198">
        <v>3000</v>
      </c>
      <c r="X198">
        <v>1050</v>
      </c>
      <c r="Y198" s="17">
        <v>6450</v>
      </c>
      <c r="AJ198">
        <v>1</v>
      </c>
    </row>
    <row r="199" spans="1:36" ht="15">
      <c r="A199">
        <v>1936</v>
      </c>
      <c r="B199" t="s">
        <v>571</v>
      </c>
      <c r="C199" s="12" t="s">
        <v>572</v>
      </c>
      <c r="D199" t="s">
        <v>484</v>
      </c>
      <c r="E199" t="s">
        <v>85</v>
      </c>
      <c r="F199">
        <v>420</v>
      </c>
      <c r="G199">
        <v>4</v>
      </c>
      <c r="H199">
        <v>211</v>
      </c>
      <c r="I199">
        <v>185</v>
      </c>
      <c r="J199">
        <v>59</v>
      </c>
      <c r="O199">
        <v>800</v>
      </c>
      <c r="Y199" s="17">
        <v>8550</v>
      </c>
      <c r="AB199">
        <v>32</v>
      </c>
      <c r="AI199">
        <v>17</v>
      </c>
      <c r="AJ199" t="s">
        <v>287</v>
      </c>
    </row>
    <row r="200" spans="1:38" ht="15">
      <c r="A200">
        <v>1936</v>
      </c>
      <c r="B200" t="s">
        <v>573</v>
      </c>
      <c r="C200" s="12" t="s">
        <v>574</v>
      </c>
      <c r="E200" s="3" t="s">
        <v>575</v>
      </c>
      <c r="F200">
        <v>700</v>
      </c>
      <c r="G200">
        <v>2</v>
      </c>
      <c r="H200">
        <v>165</v>
      </c>
      <c r="I200">
        <v>130</v>
      </c>
      <c r="J200">
        <v>65</v>
      </c>
      <c r="P200">
        <v>750</v>
      </c>
      <c r="Q200">
        <v>5.5</v>
      </c>
      <c r="S200">
        <v>23700</v>
      </c>
      <c r="V200">
        <v>5520</v>
      </c>
      <c r="W200">
        <v>3600</v>
      </c>
      <c r="X200">
        <v>1920</v>
      </c>
      <c r="Y200" s="17"/>
      <c r="AB200">
        <f>33+3/12</f>
        <v>33.25</v>
      </c>
      <c r="AI200">
        <f>1+84</f>
        <v>85</v>
      </c>
      <c r="AJ200">
        <v>3</v>
      </c>
      <c r="AK200" t="s">
        <v>576</v>
      </c>
      <c r="AL200" t="s">
        <v>84</v>
      </c>
    </row>
    <row r="201" spans="1:36" ht="15">
      <c r="A201">
        <v>1936</v>
      </c>
      <c r="B201" t="s">
        <v>411</v>
      </c>
      <c r="C201" s="12" t="s">
        <v>577</v>
      </c>
      <c r="E201" s="3" t="s">
        <v>85</v>
      </c>
      <c r="F201">
        <v>420</v>
      </c>
      <c r="G201">
        <v>4</v>
      </c>
      <c r="Y201" s="17"/>
      <c r="AI201">
        <v>3</v>
      </c>
      <c r="AJ201">
        <v>1</v>
      </c>
    </row>
    <row r="202" spans="1:39" ht="15">
      <c r="A202">
        <v>1936</v>
      </c>
      <c r="B202" t="s">
        <v>411</v>
      </c>
      <c r="C202" s="12" t="s">
        <v>578</v>
      </c>
      <c r="E202" s="3" t="s">
        <v>579</v>
      </c>
      <c r="F202">
        <v>320</v>
      </c>
      <c r="H202">
        <v>192</v>
      </c>
      <c r="I202">
        <v>188</v>
      </c>
      <c r="J202">
        <v>52</v>
      </c>
      <c r="O202">
        <v>900</v>
      </c>
      <c r="X202">
        <v>1470</v>
      </c>
      <c r="Y202" s="17">
        <v>14850</v>
      </c>
      <c r="AB202">
        <v>38</v>
      </c>
      <c r="AI202">
        <v>11</v>
      </c>
      <c r="AJ202" t="s">
        <v>287</v>
      </c>
      <c r="AM202">
        <v>612</v>
      </c>
    </row>
    <row r="203" spans="1:36" ht="15">
      <c r="A203">
        <v>1936</v>
      </c>
      <c r="B203" t="s">
        <v>426</v>
      </c>
      <c r="C203" s="12" t="s">
        <v>580</v>
      </c>
      <c r="E203" t="s">
        <v>581</v>
      </c>
      <c r="F203">
        <v>90</v>
      </c>
      <c r="G203">
        <v>2</v>
      </c>
      <c r="H203">
        <v>130</v>
      </c>
      <c r="I203">
        <v>112</v>
      </c>
      <c r="O203">
        <v>525</v>
      </c>
      <c r="V203">
        <v>1610</v>
      </c>
      <c r="X203">
        <v>643</v>
      </c>
      <c r="Y203" s="17">
        <v>3485</v>
      </c>
      <c r="AJ203">
        <v>1</v>
      </c>
    </row>
    <row r="204" spans="1:38" ht="15">
      <c r="A204">
        <v>1936</v>
      </c>
      <c r="B204" t="s">
        <v>582</v>
      </c>
      <c r="C204" s="12" t="s">
        <v>583</v>
      </c>
      <c r="E204" t="s">
        <v>584</v>
      </c>
      <c r="F204">
        <v>450</v>
      </c>
      <c r="G204">
        <v>2</v>
      </c>
      <c r="H204">
        <v>168</v>
      </c>
      <c r="I204">
        <v>120</v>
      </c>
      <c r="J204">
        <v>60</v>
      </c>
      <c r="R204">
        <v>650</v>
      </c>
      <c r="S204">
        <v>15000</v>
      </c>
      <c r="V204">
        <v>4050</v>
      </c>
      <c r="W204">
        <v>2730</v>
      </c>
      <c r="X204">
        <v>1320</v>
      </c>
      <c r="Y204" s="17"/>
      <c r="Z204">
        <v>200</v>
      </c>
      <c r="AA204">
        <v>12</v>
      </c>
      <c r="AB204">
        <v>36</v>
      </c>
      <c r="AC204">
        <v>220</v>
      </c>
      <c r="AJ204">
        <v>3</v>
      </c>
      <c r="AL204" t="s">
        <v>84</v>
      </c>
    </row>
    <row r="205" spans="1:36" ht="15">
      <c r="A205">
        <v>1936</v>
      </c>
      <c r="B205" t="s">
        <v>289</v>
      </c>
      <c r="C205" s="12" t="s">
        <v>585</v>
      </c>
      <c r="D205" t="s">
        <v>586</v>
      </c>
      <c r="E205" t="s">
        <v>587</v>
      </c>
      <c r="F205">
        <v>225</v>
      </c>
      <c r="H205">
        <v>144</v>
      </c>
      <c r="I205">
        <v>136</v>
      </c>
      <c r="J205">
        <v>53</v>
      </c>
      <c r="O205">
        <v>475</v>
      </c>
      <c r="S205">
        <v>12300</v>
      </c>
      <c r="X205">
        <v>1115</v>
      </c>
      <c r="Y205" s="17">
        <v>6485</v>
      </c>
      <c r="AB205">
        <f>41+7/12</f>
        <v>41.583333333333336</v>
      </c>
      <c r="AI205">
        <v>47</v>
      </c>
      <c r="AJ205">
        <v>8</v>
      </c>
    </row>
    <row r="206" spans="1:36" ht="15">
      <c r="A206">
        <v>1936</v>
      </c>
      <c r="B206" t="s">
        <v>289</v>
      </c>
      <c r="C206" s="12" t="s">
        <v>588</v>
      </c>
      <c r="D206" t="s">
        <v>586</v>
      </c>
      <c r="E206" t="s">
        <v>589</v>
      </c>
      <c r="F206">
        <v>260</v>
      </c>
      <c r="G206">
        <v>5</v>
      </c>
      <c r="I206">
        <v>140</v>
      </c>
      <c r="O206">
        <v>650</v>
      </c>
      <c r="Y206" s="17"/>
      <c r="AI206">
        <v>3</v>
      </c>
      <c r="AJ206" t="s">
        <v>287</v>
      </c>
    </row>
    <row r="207" spans="1:36" ht="15">
      <c r="A207">
        <v>1937</v>
      </c>
      <c r="B207" t="s">
        <v>388</v>
      </c>
      <c r="C207" s="12" t="s">
        <v>590</v>
      </c>
      <c r="E207" t="s">
        <v>591</v>
      </c>
      <c r="F207">
        <v>37</v>
      </c>
      <c r="G207">
        <v>2</v>
      </c>
      <c r="H207">
        <v>78</v>
      </c>
      <c r="I207">
        <v>70</v>
      </c>
      <c r="J207">
        <v>38</v>
      </c>
      <c r="O207">
        <v>175</v>
      </c>
      <c r="R207">
        <v>400</v>
      </c>
      <c r="S207">
        <v>13000</v>
      </c>
      <c r="V207">
        <v>1040</v>
      </c>
      <c r="W207">
        <v>590</v>
      </c>
      <c r="X207">
        <v>450</v>
      </c>
      <c r="Y207" s="17"/>
      <c r="Z207">
        <v>10</v>
      </c>
      <c r="AA207">
        <v>0.75</v>
      </c>
      <c r="AJ207">
        <v>2</v>
      </c>
    </row>
    <row r="208" spans="1:36" ht="15">
      <c r="A208">
        <v>1937</v>
      </c>
      <c r="B208" s="3" t="s">
        <v>482</v>
      </c>
      <c r="C208" s="12" t="s">
        <v>592</v>
      </c>
      <c r="E208" t="s">
        <v>419</v>
      </c>
      <c r="F208">
        <v>450</v>
      </c>
      <c r="G208">
        <v>5</v>
      </c>
      <c r="H208">
        <v>212</v>
      </c>
      <c r="I208">
        <v>202</v>
      </c>
      <c r="O208">
        <v>800</v>
      </c>
      <c r="V208">
        <v>4250</v>
      </c>
      <c r="X208">
        <v>1660</v>
      </c>
      <c r="Y208" s="17">
        <v>18870</v>
      </c>
      <c r="AJ208">
        <v>1</v>
      </c>
    </row>
    <row r="209" spans="1:38" ht="15">
      <c r="A209">
        <v>1937</v>
      </c>
      <c r="B209" t="s">
        <v>308</v>
      </c>
      <c r="C209" s="12" t="s">
        <v>593</v>
      </c>
      <c r="E209" t="s">
        <v>346</v>
      </c>
      <c r="F209">
        <v>145</v>
      </c>
      <c r="G209">
        <v>2</v>
      </c>
      <c r="H209">
        <v>162</v>
      </c>
      <c r="I209">
        <v>143</v>
      </c>
      <c r="J209">
        <v>47</v>
      </c>
      <c r="O209" t="s">
        <v>91</v>
      </c>
      <c r="P209">
        <v>525</v>
      </c>
      <c r="R209">
        <v>1000</v>
      </c>
      <c r="S209">
        <v>18900</v>
      </c>
      <c r="V209">
        <v>2250</v>
      </c>
      <c r="W209">
        <v>1315</v>
      </c>
      <c r="X209">
        <v>935</v>
      </c>
      <c r="Y209" s="17">
        <v>5490</v>
      </c>
      <c r="Z209">
        <v>35</v>
      </c>
      <c r="AA209">
        <v>3.5</v>
      </c>
      <c r="AB209">
        <f>34+2/12</f>
        <v>34.166666666666664</v>
      </c>
      <c r="AC209">
        <v>182</v>
      </c>
      <c r="AJ209">
        <v>2</v>
      </c>
      <c r="AK209" t="s">
        <v>539</v>
      </c>
      <c r="AL209" t="s">
        <v>84</v>
      </c>
    </row>
    <row r="210" spans="1:38" ht="15">
      <c r="A210">
        <v>1937</v>
      </c>
      <c r="B210" t="s">
        <v>573</v>
      </c>
      <c r="C210" s="12" t="s">
        <v>594</v>
      </c>
      <c r="E210" t="s">
        <v>595</v>
      </c>
      <c r="F210">
        <v>700</v>
      </c>
      <c r="G210">
        <v>2</v>
      </c>
      <c r="H210">
        <v>165</v>
      </c>
      <c r="I210">
        <v>130</v>
      </c>
      <c r="J210">
        <v>75</v>
      </c>
      <c r="P210">
        <v>750</v>
      </c>
      <c r="Q210">
        <v>5.5</v>
      </c>
      <c r="S210">
        <v>23700</v>
      </c>
      <c r="V210">
        <v>5520</v>
      </c>
      <c r="W210">
        <v>3600</v>
      </c>
      <c r="X210">
        <v>1920</v>
      </c>
      <c r="Y210" s="17"/>
      <c r="AB210">
        <f>33+3/12</f>
        <v>33.25</v>
      </c>
      <c r="AI210">
        <v>40</v>
      </c>
      <c r="AJ210">
        <v>3</v>
      </c>
      <c r="AK210" t="s">
        <v>576</v>
      </c>
      <c r="AL210" t="s">
        <v>84</v>
      </c>
    </row>
    <row r="211" spans="1:38" ht="15">
      <c r="A211">
        <v>1937</v>
      </c>
      <c r="B211" t="s">
        <v>95</v>
      </c>
      <c r="C211" s="12" t="s">
        <v>596</v>
      </c>
      <c r="E211" t="s">
        <v>597</v>
      </c>
      <c r="F211">
        <v>1050</v>
      </c>
      <c r="G211">
        <v>1</v>
      </c>
      <c r="H211">
        <v>313</v>
      </c>
      <c r="I211">
        <v>270</v>
      </c>
      <c r="K211">
        <v>69</v>
      </c>
      <c r="O211">
        <v>860</v>
      </c>
      <c r="P211">
        <v>625</v>
      </c>
      <c r="R211">
        <v>3400</v>
      </c>
      <c r="S211">
        <v>32700</v>
      </c>
      <c r="T211">
        <v>33600</v>
      </c>
      <c r="U211">
        <v>5640</v>
      </c>
      <c r="V211">
        <v>5568</v>
      </c>
      <c r="W211">
        <v>4493</v>
      </c>
      <c r="X211">
        <v>1075</v>
      </c>
      <c r="Y211" s="17"/>
      <c r="Z211">
        <f>41.7+35.2+30+57.5</f>
        <v>164.4</v>
      </c>
      <c r="AA211">
        <f>54/4</f>
        <v>13.5</v>
      </c>
      <c r="AB211">
        <f>37+3.5/12</f>
        <v>37.291666666666664</v>
      </c>
      <c r="AJ211">
        <v>2</v>
      </c>
      <c r="AK211" t="s">
        <v>598</v>
      </c>
      <c r="AL211" t="s">
        <v>556</v>
      </c>
    </row>
    <row r="212" spans="1:39" ht="15">
      <c r="A212">
        <v>1937</v>
      </c>
      <c r="B212" t="s">
        <v>411</v>
      </c>
      <c r="C212" s="12" t="s">
        <v>599</v>
      </c>
      <c r="E212" t="s">
        <v>600</v>
      </c>
      <c r="F212">
        <v>300</v>
      </c>
      <c r="H212">
        <v>190</v>
      </c>
      <c r="I212">
        <v>187</v>
      </c>
      <c r="J212">
        <v>52</v>
      </c>
      <c r="O212">
        <v>930</v>
      </c>
      <c r="S212">
        <v>19000</v>
      </c>
      <c r="X212">
        <v>1650</v>
      </c>
      <c r="Y212" s="17">
        <v>12800</v>
      </c>
      <c r="AB212">
        <v>38</v>
      </c>
      <c r="AI212">
        <v>3</v>
      </c>
      <c r="AJ212" t="s">
        <v>287</v>
      </c>
      <c r="AM212">
        <v>645</v>
      </c>
    </row>
    <row r="213" spans="1:39" ht="15">
      <c r="A213">
        <v>1937</v>
      </c>
      <c r="B213" t="s">
        <v>411</v>
      </c>
      <c r="C213" s="12" t="s">
        <v>601</v>
      </c>
      <c r="E213" t="s">
        <v>602</v>
      </c>
      <c r="F213">
        <v>285</v>
      </c>
      <c r="H213">
        <v>175</v>
      </c>
      <c r="I213">
        <v>166</v>
      </c>
      <c r="J213">
        <v>50</v>
      </c>
      <c r="O213">
        <v>540</v>
      </c>
      <c r="S213">
        <v>18000</v>
      </c>
      <c r="X213">
        <v>1450</v>
      </c>
      <c r="Y213" s="17">
        <v>9800</v>
      </c>
      <c r="AB213">
        <v>38</v>
      </c>
      <c r="AI213">
        <v>7</v>
      </c>
      <c r="AJ213" t="s">
        <v>287</v>
      </c>
      <c r="AM213">
        <v>645</v>
      </c>
    </row>
    <row r="214" spans="1:38" ht="15">
      <c r="A214">
        <v>1937</v>
      </c>
      <c r="B214" t="s">
        <v>561</v>
      </c>
      <c r="C214" s="12" t="s">
        <v>603</v>
      </c>
      <c r="E214" t="s">
        <v>604</v>
      </c>
      <c r="F214">
        <v>900</v>
      </c>
      <c r="G214">
        <v>1</v>
      </c>
      <c r="H214">
        <v>330</v>
      </c>
      <c r="V214">
        <v>6200</v>
      </c>
      <c r="W214">
        <v>4097.4</v>
      </c>
      <c r="X214">
        <f>6200-4097.4</f>
        <v>2102.6000000000004</v>
      </c>
      <c r="Y214" s="17"/>
      <c r="Z214">
        <v>280</v>
      </c>
      <c r="AA214">
        <v>30</v>
      </c>
      <c r="AB214">
        <v>32</v>
      </c>
      <c r="AC214">
        <v>191</v>
      </c>
      <c r="AI214">
        <v>1</v>
      </c>
      <c r="AJ214">
        <v>3</v>
      </c>
      <c r="AK214" t="s">
        <v>605</v>
      </c>
      <c r="AL214" t="s">
        <v>606</v>
      </c>
    </row>
    <row r="215" spans="1:40" ht="15">
      <c r="A215">
        <v>1937</v>
      </c>
      <c r="B215" t="s">
        <v>607</v>
      </c>
      <c r="C215" s="12" t="s">
        <v>608</v>
      </c>
      <c r="D215" s="3" t="s">
        <v>609</v>
      </c>
      <c r="E215" t="s">
        <v>610</v>
      </c>
      <c r="F215">
        <v>1000</v>
      </c>
      <c r="G215">
        <v>1</v>
      </c>
      <c r="H215">
        <v>350</v>
      </c>
      <c r="J215">
        <v>87</v>
      </c>
      <c r="U215">
        <v>4923</v>
      </c>
      <c r="V215">
        <v>3765</v>
      </c>
      <c r="W215">
        <v>3300</v>
      </c>
      <c r="X215">
        <f>3765-3300</f>
        <v>465</v>
      </c>
      <c r="Y215" s="17"/>
      <c r="Z215">
        <f>105+105</f>
        <v>210</v>
      </c>
      <c r="AB215">
        <f>25+2.5/12</f>
        <v>25.208333333333332</v>
      </c>
      <c r="AC215">
        <v>95</v>
      </c>
      <c r="AI215">
        <v>1</v>
      </c>
      <c r="AJ215">
        <v>3</v>
      </c>
      <c r="AN215" t="s">
        <v>611</v>
      </c>
    </row>
    <row r="216" spans="1:38" ht="15">
      <c r="A216">
        <v>1937</v>
      </c>
      <c r="B216" t="s">
        <v>612</v>
      </c>
      <c r="C216" s="12" t="s">
        <v>613</v>
      </c>
      <c r="D216" s="3" t="s">
        <v>614</v>
      </c>
      <c r="E216" t="s">
        <v>615</v>
      </c>
      <c r="F216">
        <v>975</v>
      </c>
      <c r="G216">
        <v>3</v>
      </c>
      <c r="H216">
        <v>220.5</v>
      </c>
      <c r="I216">
        <v>197</v>
      </c>
      <c r="J216">
        <v>75.6</v>
      </c>
      <c r="P216">
        <v>640</v>
      </c>
      <c r="R216">
        <v>1720</v>
      </c>
      <c r="S216">
        <v>23200</v>
      </c>
      <c r="T216">
        <v>24600</v>
      </c>
      <c r="V216">
        <v>7636</v>
      </c>
      <c r="W216">
        <v>5900</v>
      </c>
      <c r="X216">
        <v>1736</v>
      </c>
      <c r="Y216" s="17"/>
      <c r="Z216">
        <f>45+45</f>
        <v>90</v>
      </c>
      <c r="AC216">
        <v>313.6</v>
      </c>
      <c r="AI216">
        <f>1+64+45+48+7</f>
        <v>165</v>
      </c>
      <c r="AJ216">
        <v>3</v>
      </c>
      <c r="AK216" t="s">
        <v>616</v>
      </c>
      <c r="AL216" t="s">
        <v>556</v>
      </c>
    </row>
    <row r="217" spans="1:38" ht="15">
      <c r="A217">
        <v>1937</v>
      </c>
      <c r="B217" t="s">
        <v>617</v>
      </c>
      <c r="C217" s="12" t="s">
        <v>618</v>
      </c>
      <c r="D217" s="3" t="s">
        <v>476</v>
      </c>
      <c r="E217" t="s">
        <v>619</v>
      </c>
      <c r="F217">
        <v>40</v>
      </c>
      <c r="G217">
        <v>2</v>
      </c>
      <c r="H217">
        <v>85</v>
      </c>
      <c r="I217">
        <v>70</v>
      </c>
      <c r="J217">
        <v>29</v>
      </c>
      <c r="P217">
        <v>200</v>
      </c>
      <c r="S217">
        <v>12000</v>
      </c>
      <c r="V217">
        <v>970</v>
      </c>
      <c r="W217">
        <v>563</v>
      </c>
      <c r="X217">
        <v>407</v>
      </c>
      <c r="Y217" s="17">
        <v>1270</v>
      </c>
      <c r="Z217">
        <v>9</v>
      </c>
      <c r="AA217">
        <v>1</v>
      </c>
      <c r="AB217">
        <f>35+2.5/12</f>
        <v>35.208333333333336</v>
      </c>
      <c r="AC217">
        <v>178</v>
      </c>
      <c r="AJ217" t="s">
        <v>568</v>
      </c>
      <c r="AK217" t="s">
        <v>479</v>
      </c>
      <c r="AL217" t="s">
        <v>84</v>
      </c>
    </row>
    <row r="218" spans="1:38" ht="15">
      <c r="A218">
        <v>1937</v>
      </c>
      <c r="B218" t="s">
        <v>617</v>
      </c>
      <c r="C218" s="12" t="s">
        <v>620</v>
      </c>
      <c r="D218" s="3" t="s">
        <v>476</v>
      </c>
      <c r="E218" t="s">
        <v>621</v>
      </c>
      <c r="F218">
        <v>65</v>
      </c>
      <c r="G218">
        <v>2</v>
      </c>
      <c r="H218">
        <v>87</v>
      </c>
      <c r="I218">
        <v>73</v>
      </c>
      <c r="J218">
        <v>38</v>
      </c>
      <c r="P218">
        <v>220</v>
      </c>
      <c r="T218">
        <v>12000</v>
      </c>
      <c r="V218">
        <v>1100</v>
      </c>
      <c r="W218">
        <v>680</v>
      </c>
      <c r="X218">
        <v>540</v>
      </c>
      <c r="Y218" s="17"/>
      <c r="Z218">
        <v>12</v>
      </c>
      <c r="AA218">
        <v>1</v>
      </c>
      <c r="AB218">
        <f>35+(2.5/12)</f>
        <v>35.208333333333336</v>
      </c>
      <c r="AC218">
        <v>178.5</v>
      </c>
      <c r="AJ218">
        <v>3</v>
      </c>
      <c r="AK218" t="s">
        <v>479</v>
      </c>
      <c r="AL218" t="s">
        <v>84</v>
      </c>
    </row>
    <row r="219" spans="1:38" ht="15">
      <c r="A219">
        <v>1937</v>
      </c>
      <c r="B219" t="s">
        <v>582</v>
      </c>
      <c r="C219" s="12" t="s">
        <v>622</v>
      </c>
      <c r="E219" s="3" t="s">
        <v>623</v>
      </c>
      <c r="F219">
        <v>950</v>
      </c>
      <c r="G219">
        <v>1</v>
      </c>
      <c r="H219">
        <v>281</v>
      </c>
      <c r="I219">
        <v>200</v>
      </c>
      <c r="K219">
        <v>78</v>
      </c>
      <c r="P219">
        <v>1000</v>
      </c>
      <c r="R219">
        <v>3175</v>
      </c>
      <c r="S219">
        <v>29685</v>
      </c>
      <c r="V219">
        <v>5602</v>
      </c>
      <c r="W219">
        <v>4318</v>
      </c>
      <c r="X219">
        <v>1284</v>
      </c>
      <c r="Y219" s="17"/>
      <c r="Z219">
        <v>200</v>
      </c>
      <c r="AA219">
        <v>12</v>
      </c>
      <c r="AB219">
        <v>36</v>
      </c>
      <c r="AC219">
        <v>220</v>
      </c>
      <c r="AJ219">
        <v>3</v>
      </c>
      <c r="AK219" t="s">
        <v>624</v>
      </c>
      <c r="AL219" t="s">
        <v>84</v>
      </c>
    </row>
    <row r="220" spans="1:36" ht="15">
      <c r="A220">
        <v>1937</v>
      </c>
      <c r="B220" t="s">
        <v>370</v>
      </c>
      <c r="C220" s="12" t="s">
        <v>625</v>
      </c>
      <c r="D220" t="s">
        <v>626</v>
      </c>
      <c r="E220" s="3" t="s">
        <v>419</v>
      </c>
      <c r="F220">
        <v>450</v>
      </c>
      <c r="G220">
        <v>5</v>
      </c>
      <c r="H220">
        <v>212</v>
      </c>
      <c r="I220">
        <v>208</v>
      </c>
      <c r="O220">
        <v>850</v>
      </c>
      <c r="V220">
        <v>4400</v>
      </c>
      <c r="X220">
        <v>1413</v>
      </c>
      <c r="Y220" s="17">
        <v>23500</v>
      </c>
      <c r="AI220">
        <v>34</v>
      </c>
      <c r="AJ220">
        <v>1</v>
      </c>
    </row>
    <row r="221" spans="1:38" ht="15">
      <c r="A221">
        <v>1937</v>
      </c>
      <c r="B221" t="s">
        <v>187</v>
      </c>
      <c r="C221" s="12" t="s">
        <v>627</v>
      </c>
      <c r="E221" s="3" t="s">
        <v>628</v>
      </c>
      <c r="F221">
        <v>220</v>
      </c>
      <c r="G221">
        <v>2</v>
      </c>
      <c r="H221">
        <v>138</v>
      </c>
      <c r="I221">
        <v>120</v>
      </c>
      <c r="J221">
        <v>48</v>
      </c>
      <c r="P221">
        <v>520</v>
      </c>
      <c r="R221">
        <v>1000</v>
      </c>
      <c r="S221">
        <v>16000</v>
      </c>
      <c r="V221">
        <v>2650</v>
      </c>
      <c r="W221">
        <v>1870</v>
      </c>
      <c r="X221">
        <v>780</v>
      </c>
      <c r="Y221" s="17"/>
      <c r="Z221">
        <v>50</v>
      </c>
      <c r="AA221">
        <v>5</v>
      </c>
      <c r="AB221">
        <v>30</v>
      </c>
      <c r="AC221">
        <v>244</v>
      </c>
      <c r="AI221">
        <f>55+273+181</f>
        <v>509</v>
      </c>
      <c r="AJ221">
        <v>3</v>
      </c>
      <c r="AK221" t="s">
        <v>83</v>
      </c>
      <c r="AL221" t="s">
        <v>84</v>
      </c>
    </row>
    <row r="222" spans="1:39" ht="15">
      <c r="A222">
        <v>1937</v>
      </c>
      <c r="B222" t="s">
        <v>187</v>
      </c>
      <c r="C222" s="12" t="s">
        <v>629</v>
      </c>
      <c r="E222" s="3" t="s">
        <v>528</v>
      </c>
      <c r="F222">
        <v>225</v>
      </c>
      <c r="H222">
        <v>144</v>
      </c>
      <c r="I222">
        <v>135</v>
      </c>
      <c r="J222">
        <v>55</v>
      </c>
      <c r="P222">
        <v>518</v>
      </c>
      <c r="R222">
        <v>850</v>
      </c>
      <c r="S222">
        <v>12500</v>
      </c>
      <c r="V222">
        <v>2745</v>
      </c>
      <c r="W222">
        <v>1945</v>
      </c>
      <c r="X222">
        <v>767</v>
      </c>
      <c r="Y222" s="17"/>
      <c r="Z222">
        <v>70</v>
      </c>
      <c r="AA222">
        <v>5</v>
      </c>
      <c r="AB222">
        <f>33+3/12</f>
        <v>33.25</v>
      </c>
      <c r="AC222">
        <v>244</v>
      </c>
      <c r="AJ222">
        <v>3</v>
      </c>
      <c r="AK222" t="s">
        <v>83</v>
      </c>
      <c r="AL222" t="s">
        <v>84</v>
      </c>
      <c r="AM222">
        <v>533</v>
      </c>
    </row>
    <row r="223" spans="1:40" ht="15">
      <c r="A223">
        <v>1937</v>
      </c>
      <c r="B223" t="s">
        <v>192</v>
      </c>
      <c r="C223" s="12" t="s">
        <v>630</v>
      </c>
      <c r="D223" s="3"/>
      <c r="G223">
        <v>1</v>
      </c>
      <c r="H223">
        <v>120</v>
      </c>
      <c r="I223">
        <v>105</v>
      </c>
      <c r="J223">
        <v>45</v>
      </c>
      <c r="P223">
        <v>375</v>
      </c>
      <c r="R223">
        <v>650</v>
      </c>
      <c r="S223">
        <v>15000</v>
      </c>
      <c r="V223">
        <v>2500</v>
      </c>
      <c r="W223">
        <v>1710</v>
      </c>
      <c r="X223">
        <v>790</v>
      </c>
      <c r="Y223" s="17"/>
      <c r="Z223">
        <v>25</v>
      </c>
      <c r="AA223">
        <v>2.5</v>
      </c>
      <c r="AB223">
        <v>38</v>
      </c>
      <c r="AC223">
        <v>270</v>
      </c>
      <c r="AI223">
        <v>4</v>
      </c>
      <c r="AJ223">
        <v>3</v>
      </c>
      <c r="AK223" t="s">
        <v>605</v>
      </c>
      <c r="AL223" t="s">
        <v>84</v>
      </c>
      <c r="AN223" t="s">
        <v>631</v>
      </c>
    </row>
    <row r="224" spans="1:36" ht="15">
      <c r="A224">
        <v>1938</v>
      </c>
      <c r="B224" t="s">
        <v>411</v>
      </c>
      <c r="C224" s="12" t="s">
        <v>632</v>
      </c>
      <c r="E224" t="s">
        <v>419</v>
      </c>
      <c r="F224">
        <v>450</v>
      </c>
      <c r="G224">
        <v>5</v>
      </c>
      <c r="H224">
        <v>210</v>
      </c>
      <c r="I224">
        <v>203</v>
      </c>
      <c r="O224">
        <v>1040</v>
      </c>
      <c r="V224">
        <v>4100</v>
      </c>
      <c r="X224">
        <v>1650</v>
      </c>
      <c r="Y224" s="17">
        <v>17685</v>
      </c>
      <c r="AJ224">
        <v>1</v>
      </c>
    </row>
    <row r="225" spans="1:36" ht="15">
      <c r="A225">
        <v>1938</v>
      </c>
      <c r="B225" t="s">
        <v>541</v>
      </c>
      <c r="C225" s="12" t="s">
        <v>633</v>
      </c>
      <c r="E225" s="3" t="s">
        <v>634</v>
      </c>
      <c r="F225">
        <v>50</v>
      </c>
      <c r="G225">
        <v>2</v>
      </c>
      <c r="H225">
        <v>115</v>
      </c>
      <c r="I225">
        <v>102</v>
      </c>
      <c r="O225">
        <v>370</v>
      </c>
      <c r="V225">
        <v>1200</v>
      </c>
      <c r="X225">
        <v>535</v>
      </c>
      <c r="Y225" s="17">
        <v>1975</v>
      </c>
      <c r="AJ225">
        <v>1</v>
      </c>
    </row>
    <row r="226" spans="1:39" ht="15">
      <c r="A226">
        <v>1938</v>
      </c>
      <c r="B226" t="s">
        <v>284</v>
      </c>
      <c r="C226" s="12" t="s">
        <v>635</v>
      </c>
      <c r="E226" t="s">
        <v>535</v>
      </c>
      <c r="F226">
        <v>145</v>
      </c>
      <c r="G226">
        <v>2</v>
      </c>
      <c r="H226">
        <v>140</v>
      </c>
      <c r="I226">
        <v>130</v>
      </c>
      <c r="J226">
        <v>55</v>
      </c>
      <c r="K226">
        <v>60</v>
      </c>
      <c r="P226">
        <v>450</v>
      </c>
      <c r="R226">
        <v>650</v>
      </c>
      <c r="S226">
        <v>15000</v>
      </c>
      <c r="T226">
        <v>18000</v>
      </c>
      <c r="V226">
        <v>2150</v>
      </c>
      <c r="W226">
        <v>1395</v>
      </c>
      <c r="X226">
        <v>755</v>
      </c>
      <c r="Y226" s="17"/>
      <c r="Z226">
        <v>37</v>
      </c>
      <c r="AA226">
        <v>3</v>
      </c>
      <c r="AB226">
        <v>37.5</v>
      </c>
      <c r="AJ226">
        <v>3</v>
      </c>
      <c r="AK226" t="s">
        <v>605</v>
      </c>
      <c r="AL226" t="s">
        <v>84</v>
      </c>
      <c r="AM226">
        <v>658</v>
      </c>
    </row>
    <row r="227" spans="1:36" ht="15">
      <c r="A227">
        <v>1938</v>
      </c>
      <c r="B227" t="s">
        <v>370</v>
      </c>
      <c r="C227" s="12" t="s">
        <v>626</v>
      </c>
      <c r="E227" t="s">
        <v>419</v>
      </c>
      <c r="F227">
        <v>450</v>
      </c>
      <c r="G227">
        <v>5</v>
      </c>
      <c r="H227">
        <v>212</v>
      </c>
      <c r="I227">
        <v>208</v>
      </c>
      <c r="O227">
        <v>850</v>
      </c>
      <c r="V227">
        <v>4400</v>
      </c>
      <c r="X227">
        <v>1413</v>
      </c>
      <c r="Y227" s="17">
        <v>23500</v>
      </c>
      <c r="AJ227">
        <v>1</v>
      </c>
    </row>
    <row r="228" spans="1:36" ht="15">
      <c r="A228">
        <v>1938</v>
      </c>
      <c r="B228" t="s">
        <v>289</v>
      </c>
      <c r="C228" s="12" t="s">
        <v>636</v>
      </c>
      <c r="D228" t="s">
        <v>586</v>
      </c>
      <c r="E228" t="s">
        <v>419</v>
      </c>
      <c r="F228">
        <v>450</v>
      </c>
      <c r="G228">
        <v>5</v>
      </c>
      <c r="H228">
        <v>195</v>
      </c>
      <c r="I228">
        <v>177</v>
      </c>
      <c r="O228">
        <v>850</v>
      </c>
      <c r="V228">
        <v>4650</v>
      </c>
      <c r="X228">
        <v>1605</v>
      </c>
      <c r="Y228" s="17">
        <v>18000</v>
      </c>
      <c r="AJ228">
        <v>1</v>
      </c>
    </row>
    <row r="229" spans="1:38" ht="15">
      <c r="A229">
        <v>1939</v>
      </c>
      <c r="B229" t="s">
        <v>270</v>
      </c>
      <c r="C229" s="12" t="s">
        <v>637</v>
      </c>
      <c r="D229" t="s">
        <v>638</v>
      </c>
      <c r="E229" t="s">
        <v>639</v>
      </c>
      <c r="F229">
        <v>175</v>
      </c>
      <c r="G229">
        <v>2</v>
      </c>
      <c r="H229">
        <v>124</v>
      </c>
      <c r="I229">
        <v>106</v>
      </c>
      <c r="J229">
        <v>70</v>
      </c>
      <c r="K229">
        <v>60</v>
      </c>
      <c r="O229">
        <v>350</v>
      </c>
      <c r="P229">
        <v>265</v>
      </c>
      <c r="R229">
        <v>700</v>
      </c>
      <c r="S229">
        <v>12000</v>
      </c>
      <c r="V229">
        <v>2520</v>
      </c>
      <c r="W229">
        <v>1820</v>
      </c>
      <c r="X229">
        <v>700</v>
      </c>
      <c r="Y229" s="17"/>
      <c r="Z229">
        <v>45</v>
      </c>
      <c r="AA229">
        <v>4.1</v>
      </c>
      <c r="AB229">
        <v>36</v>
      </c>
      <c r="AC229">
        <v>184.14</v>
      </c>
      <c r="AJ229">
        <v>2</v>
      </c>
      <c r="AK229" t="s">
        <v>640</v>
      </c>
      <c r="AL229" t="s">
        <v>641</v>
      </c>
    </row>
    <row r="230" spans="1:39" ht="15">
      <c r="A230">
        <v>1939</v>
      </c>
      <c r="B230" t="s">
        <v>411</v>
      </c>
      <c r="C230" s="12" t="s">
        <v>642</v>
      </c>
      <c r="E230" t="s">
        <v>643</v>
      </c>
      <c r="F230">
        <v>450</v>
      </c>
      <c r="H230">
        <v>201</v>
      </c>
      <c r="I230">
        <v>191</v>
      </c>
      <c r="J230">
        <v>62</v>
      </c>
      <c r="O230">
        <v>920</v>
      </c>
      <c r="P230">
        <v>785</v>
      </c>
      <c r="R230">
        <v>1560</v>
      </c>
      <c r="S230">
        <v>21500</v>
      </c>
      <c r="V230">
        <v>4350</v>
      </c>
      <c r="W230">
        <v>2725</v>
      </c>
      <c r="X230">
        <v>1625</v>
      </c>
      <c r="Y230" s="17"/>
      <c r="Z230">
        <v>150</v>
      </c>
      <c r="AA230">
        <v>8</v>
      </c>
      <c r="AB230">
        <v>38</v>
      </c>
      <c r="AJ230">
        <v>3</v>
      </c>
      <c r="AK230" t="s">
        <v>644</v>
      </c>
      <c r="AL230" t="s">
        <v>84</v>
      </c>
      <c r="AM230" t="s">
        <v>645</v>
      </c>
    </row>
    <row r="231" spans="1:36" ht="15">
      <c r="A231">
        <v>1939</v>
      </c>
      <c r="B231" t="s">
        <v>541</v>
      </c>
      <c r="C231" s="12" t="s">
        <v>646</v>
      </c>
      <c r="E231" t="s">
        <v>647</v>
      </c>
      <c r="F231">
        <v>60</v>
      </c>
      <c r="Y231" s="17"/>
      <c r="AJ231">
        <v>1</v>
      </c>
    </row>
    <row r="232" spans="1:38" ht="15">
      <c r="A232">
        <v>1939</v>
      </c>
      <c r="B232" t="s">
        <v>612</v>
      </c>
      <c r="C232" s="12" t="s">
        <v>648</v>
      </c>
      <c r="D232" t="s">
        <v>649</v>
      </c>
      <c r="E232" t="s">
        <v>650</v>
      </c>
      <c r="F232">
        <v>600</v>
      </c>
      <c r="G232">
        <v>2</v>
      </c>
      <c r="H232">
        <v>210</v>
      </c>
      <c r="I232">
        <v>146</v>
      </c>
      <c r="J232">
        <v>67</v>
      </c>
      <c r="P232">
        <v>629</v>
      </c>
      <c r="S232">
        <v>24700</v>
      </c>
      <c r="V232">
        <v>5155</v>
      </c>
      <c r="W232">
        <v>4250</v>
      </c>
      <c r="X232">
        <v>905</v>
      </c>
      <c r="Y232" s="17"/>
      <c r="Z232">
        <v>110</v>
      </c>
      <c r="AA232">
        <v>12.2</v>
      </c>
      <c r="AB232">
        <f>42+1/48</f>
        <v>42.020833333333336</v>
      </c>
      <c r="AC232">
        <v>253.73</v>
      </c>
      <c r="AJ232">
        <v>3</v>
      </c>
      <c r="AK232" t="s">
        <v>598</v>
      </c>
      <c r="AL232" t="s">
        <v>651</v>
      </c>
    </row>
    <row r="233" spans="1:36" ht="15">
      <c r="A233">
        <v>1939</v>
      </c>
      <c r="B233" t="s">
        <v>612</v>
      </c>
      <c r="C233" s="12" t="s">
        <v>652</v>
      </c>
      <c r="D233" t="s">
        <v>653</v>
      </c>
      <c r="Y233" s="17"/>
      <c r="AI233">
        <f>24+50</f>
        <v>74</v>
      </c>
      <c r="AJ233">
        <v>3</v>
      </c>
    </row>
    <row r="234" spans="1:36" ht="15">
      <c r="A234">
        <v>1940</v>
      </c>
      <c r="B234" t="s">
        <v>187</v>
      </c>
      <c r="C234" s="12" t="s">
        <v>654</v>
      </c>
      <c r="E234" s="3" t="s">
        <v>419</v>
      </c>
      <c r="F234">
        <v>250</v>
      </c>
      <c r="G234">
        <v>5</v>
      </c>
      <c r="H234">
        <v>202</v>
      </c>
      <c r="I234">
        <v>195</v>
      </c>
      <c r="O234">
        <v>1070</v>
      </c>
      <c r="V234">
        <v>4200</v>
      </c>
      <c r="X234">
        <v>1466</v>
      </c>
      <c r="Y234" s="17">
        <v>18900</v>
      </c>
      <c r="AJ234">
        <v>1</v>
      </c>
    </row>
    <row r="235" ht="15">
      <c r="C235" s="13"/>
    </row>
    <row r="236" spans="1:3" ht="15.75">
      <c r="A236" s="1" t="s">
        <v>655</v>
      </c>
      <c r="C236" s="13"/>
    </row>
    <row r="237" spans="1:38" ht="15">
      <c r="A237">
        <v>1917</v>
      </c>
      <c r="B237" t="s">
        <v>95</v>
      </c>
      <c r="C237" s="12" t="s">
        <v>656</v>
      </c>
      <c r="E237" s="3" t="s">
        <v>657</v>
      </c>
      <c r="F237">
        <v>100</v>
      </c>
      <c r="G237">
        <v>2</v>
      </c>
      <c r="H237">
        <v>85</v>
      </c>
      <c r="I237">
        <v>75</v>
      </c>
      <c r="J237">
        <v>48</v>
      </c>
      <c r="P237">
        <v>600</v>
      </c>
      <c r="R237">
        <v>400</v>
      </c>
      <c r="S237">
        <v>8000</v>
      </c>
      <c r="V237">
        <v>3150</v>
      </c>
      <c r="W237">
        <v>2110</v>
      </c>
      <c r="X237">
        <v>1040</v>
      </c>
      <c r="Z237">
        <v>105</v>
      </c>
      <c r="AA237">
        <v>8</v>
      </c>
      <c r="AB237">
        <f>52+9.38/12</f>
        <v>52.781666666666666</v>
      </c>
      <c r="AC237">
        <v>415</v>
      </c>
      <c r="AI237">
        <v>11</v>
      </c>
      <c r="AJ237">
        <v>2</v>
      </c>
      <c r="AK237" t="s">
        <v>108</v>
      </c>
      <c r="AL237" t="s">
        <v>84</v>
      </c>
    </row>
    <row r="238" spans="1:38" ht="15">
      <c r="A238">
        <v>1919</v>
      </c>
      <c r="B238" t="s">
        <v>658</v>
      </c>
      <c r="C238" s="12" t="s">
        <v>659</v>
      </c>
      <c r="D238" t="s">
        <v>660</v>
      </c>
      <c r="E238" t="s">
        <v>661</v>
      </c>
      <c r="F238">
        <v>400</v>
      </c>
      <c r="G238">
        <v>6</v>
      </c>
      <c r="H238">
        <v>110</v>
      </c>
      <c r="J238">
        <v>55</v>
      </c>
      <c r="Q238">
        <v>10</v>
      </c>
      <c r="R238">
        <v>650</v>
      </c>
      <c r="S238">
        <v>17000</v>
      </c>
      <c r="V238">
        <v>20000</v>
      </c>
      <c r="W238">
        <v>12400</v>
      </c>
      <c r="X238">
        <v>7600</v>
      </c>
      <c r="AB238">
        <f>106+8/12</f>
        <v>106.66666666666667</v>
      </c>
      <c r="AC238">
        <v>2000</v>
      </c>
      <c r="AJ238">
        <v>3</v>
      </c>
      <c r="AK238" t="s">
        <v>662</v>
      </c>
      <c r="AL238" t="s">
        <v>84</v>
      </c>
    </row>
    <row r="239" spans="1:38" ht="15">
      <c r="A239">
        <v>1921</v>
      </c>
      <c r="B239" t="s">
        <v>95</v>
      </c>
      <c r="C239" s="12" t="s">
        <v>663</v>
      </c>
      <c r="E239" t="s">
        <v>664</v>
      </c>
      <c r="F239">
        <f>836/2</f>
        <v>418</v>
      </c>
      <c r="H239">
        <v>98.7</v>
      </c>
      <c r="V239">
        <v>12064</v>
      </c>
      <c r="AB239">
        <f>74+2/12</f>
        <v>74.16666666666667</v>
      </c>
      <c r="AC239">
        <v>1154</v>
      </c>
      <c r="AJ239" t="s">
        <v>82</v>
      </c>
      <c r="AK239" t="s">
        <v>665</v>
      </c>
      <c r="AL239" t="s">
        <v>84</v>
      </c>
    </row>
    <row r="240" spans="1:38" ht="15">
      <c r="A240">
        <v>1922</v>
      </c>
      <c r="B240" t="s">
        <v>95</v>
      </c>
      <c r="C240" s="12" t="s">
        <v>666</v>
      </c>
      <c r="E240" t="s">
        <v>664</v>
      </c>
      <c r="F240">
        <f>864/2</f>
        <v>432</v>
      </c>
      <c r="H240">
        <v>103.6</v>
      </c>
      <c r="V240">
        <v>13795</v>
      </c>
      <c r="AB240">
        <v>90</v>
      </c>
      <c r="AC240">
        <v>1590</v>
      </c>
      <c r="AJ240" t="s">
        <v>82</v>
      </c>
      <c r="AK240" t="s">
        <v>253</v>
      </c>
      <c r="AL240" t="s">
        <v>84</v>
      </c>
    </row>
    <row r="241" spans="1:36" ht="15">
      <c r="A241">
        <v>1925</v>
      </c>
      <c r="B241" t="s">
        <v>667</v>
      </c>
      <c r="C241" s="12" t="s">
        <v>668</v>
      </c>
      <c r="E241" t="s">
        <v>669</v>
      </c>
      <c r="F241">
        <v>400</v>
      </c>
      <c r="H241">
        <v>109</v>
      </c>
      <c r="O241">
        <v>404</v>
      </c>
      <c r="V241">
        <v>11023</v>
      </c>
      <c r="AB241">
        <v>8222</v>
      </c>
      <c r="AJ241">
        <v>36</v>
      </c>
    </row>
    <row r="242" spans="1:38" ht="15">
      <c r="A242">
        <v>1926</v>
      </c>
      <c r="B242" t="s">
        <v>226</v>
      </c>
      <c r="C242" s="12" t="s">
        <v>389</v>
      </c>
      <c r="E242" s="3" t="s">
        <v>670</v>
      </c>
      <c r="F242">
        <v>224</v>
      </c>
      <c r="G242">
        <v>8</v>
      </c>
      <c r="H242">
        <v>116</v>
      </c>
      <c r="V242">
        <v>9715</v>
      </c>
      <c r="AB242">
        <f>71+2.25/12</f>
        <v>71.1875</v>
      </c>
      <c r="AC242">
        <v>718</v>
      </c>
      <c r="AI242">
        <v>3</v>
      </c>
      <c r="AJ242" t="s">
        <v>82</v>
      </c>
      <c r="AK242" t="s">
        <v>119</v>
      </c>
      <c r="AL242" t="s">
        <v>84</v>
      </c>
    </row>
    <row r="243" spans="1:38" ht="15">
      <c r="A243">
        <v>1926</v>
      </c>
      <c r="B243" t="s">
        <v>226</v>
      </c>
      <c r="C243" s="12" t="s">
        <v>671</v>
      </c>
      <c r="E243" s="3" t="s">
        <v>672</v>
      </c>
      <c r="F243">
        <f>898/2</f>
        <v>449</v>
      </c>
      <c r="G243">
        <v>5</v>
      </c>
      <c r="H243">
        <v>115.8</v>
      </c>
      <c r="V243">
        <v>12038.7</v>
      </c>
      <c r="AB243">
        <f>72+10.25/12</f>
        <v>72.85416666666667</v>
      </c>
      <c r="AC243">
        <v>748</v>
      </c>
      <c r="AI243">
        <v>1</v>
      </c>
      <c r="AJ243" t="s">
        <v>82</v>
      </c>
      <c r="AK243" t="s">
        <v>119</v>
      </c>
      <c r="AL243" t="s">
        <v>84</v>
      </c>
    </row>
    <row r="244" spans="1:38" ht="15">
      <c r="A244">
        <v>1926</v>
      </c>
      <c r="B244" t="s">
        <v>206</v>
      </c>
      <c r="C244" s="12" t="s">
        <v>673</v>
      </c>
      <c r="E244" s="3" t="s">
        <v>674</v>
      </c>
      <c r="F244">
        <f>854/2</f>
        <v>427</v>
      </c>
      <c r="G244">
        <v>5</v>
      </c>
      <c r="H244">
        <v>108.4</v>
      </c>
      <c r="V244">
        <v>11992.42</v>
      </c>
      <c r="AB244">
        <v>67</v>
      </c>
      <c r="AC244">
        <v>1207.2</v>
      </c>
      <c r="AI244">
        <v>1</v>
      </c>
      <c r="AJ244" t="s">
        <v>82</v>
      </c>
      <c r="AK244" t="s">
        <v>209</v>
      </c>
      <c r="AL244" t="s">
        <v>84</v>
      </c>
    </row>
    <row r="245" spans="1:38" ht="15">
      <c r="A245">
        <v>1928</v>
      </c>
      <c r="B245" t="s">
        <v>675</v>
      </c>
      <c r="C245" s="13" t="s">
        <v>676</v>
      </c>
      <c r="E245" t="s">
        <v>670</v>
      </c>
      <c r="F245">
        <v>220</v>
      </c>
      <c r="G245">
        <v>14</v>
      </c>
      <c r="H245">
        <v>110.77</v>
      </c>
      <c r="V245">
        <v>9924</v>
      </c>
      <c r="AB245">
        <v>73.92</v>
      </c>
      <c r="AC245">
        <v>742.2</v>
      </c>
      <c r="AI245">
        <v>1</v>
      </c>
      <c r="AJ245" t="s">
        <v>82</v>
      </c>
      <c r="AK245" t="s">
        <v>677</v>
      </c>
      <c r="AL245" t="s">
        <v>84</v>
      </c>
    </row>
    <row r="246" spans="1:38" ht="15">
      <c r="A246">
        <v>1928</v>
      </c>
      <c r="B246" t="s">
        <v>678</v>
      </c>
      <c r="C246" s="12" t="s">
        <v>679</v>
      </c>
      <c r="E246" t="s">
        <v>680</v>
      </c>
      <c r="F246">
        <f>1070/2</f>
        <v>535</v>
      </c>
      <c r="G246">
        <v>5</v>
      </c>
      <c r="H246">
        <v>117.57</v>
      </c>
      <c r="V246">
        <v>12836</v>
      </c>
      <c r="AB246">
        <v>75</v>
      </c>
      <c r="AC246">
        <v>1173</v>
      </c>
      <c r="AI246">
        <v>1</v>
      </c>
      <c r="AJ246" t="s">
        <v>82</v>
      </c>
      <c r="AK246" t="s">
        <v>681</v>
      </c>
      <c r="AL246" t="s">
        <v>84</v>
      </c>
    </row>
    <row r="247" spans="1:38" ht="15">
      <c r="A247">
        <v>1929</v>
      </c>
      <c r="B247" t="s">
        <v>95</v>
      </c>
      <c r="C247" s="12" t="s">
        <v>682</v>
      </c>
      <c r="D247" t="s">
        <v>683</v>
      </c>
      <c r="E247" t="s">
        <v>684</v>
      </c>
      <c r="F247">
        <v>600</v>
      </c>
      <c r="H247">
        <v>129.85</v>
      </c>
      <c r="I247">
        <v>105</v>
      </c>
      <c r="J247">
        <v>53</v>
      </c>
      <c r="O247" t="s">
        <v>91</v>
      </c>
      <c r="P247">
        <v>450</v>
      </c>
      <c r="S247">
        <v>16510</v>
      </c>
      <c r="V247">
        <v>16516</v>
      </c>
      <c r="W247">
        <v>9039</v>
      </c>
      <c r="X247">
        <v>7477</v>
      </c>
      <c r="Z247">
        <v>444</v>
      </c>
      <c r="AA247">
        <v>38</v>
      </c>
      <c r="AB247">
        <v>90</v>
      </c>
      <c r="AC247">
        <v>1498.6</v>
      </c>
      <c r="AJ247" t="s">
        <v>235</v>
      </c>
      <c r="AK247" t="s">
        <v>685</v>
      </c>
      <c r="AL247" t="s">
        <v>84</v>
      </c>
    </row>
    <row r="248" spans="1:36" ht="15">
      <c r="A248">
        <v>1929</v>
      </c>
      <c r="B248" t="s">
        <v>667</v>
      </c>
      <c r="C248" s="12" t="s">
        <v>686</v>
      </c>
      <c r="H248">
        <v>127</v>
      </c>
      <c r="T248">
        <v>14700</v>
      </c>
      <c r="V248">
        <v>66139</v>
      </c>
      <c r="W248">
        <v>33075</v>
      </c>
      <c r="AC248">
        <v>6057</v>
      </c>
      <c r="AI248">
        <v>1</v>
      </c>
      <c r="AJ248">
        <v>36</v>
      </c>
    </row>
    <row r="249" spans="1:38" ht="15">
      <c r="A249">
        <v>1930</v>
      </c>
      <c r="B249" t="s">
        <v>95</v>
      </c>
      <c r="C249" s="12" t="s">
        <v>687</v>
      </c>
      <c r="D249" t="s">
        <v>683</v>
      </c>
      <c r="E249" t="s">
        <v>684</v>
      </c>
      <c r="F249">
        <v>600</v>
      </c>
      <c r="H249">
        <v>139</v>
      </c>
      <c r="I249">
        <v>120</v>
      </c>
      <c r="J249">
        <v>50</v>
      </c>
      <c r="O249" t="s">
        <v>91</v>
      </c>
      <c r="P249">
        <v>515</v>
      </c>
      <c r="S249">
        <v>17000</v>
      </c>
      <c r="V249">
        <v>17900</v>
      </c>
      <c r="W249">
        <v>11818</v>
      </c>
      <c r="X249">
        <v>6082</v>
      </c>
      <c r="Z249">
        <v>446</v>
      </c>
      <c r="AA249">
        <v>38</v>
      </c>
      <c r="AB249">
        <f>91+8/12</f>
        <v>91.66666666666667</v>
      </c>
      <c r="AC249">
        <v>1510</v>
      </c>
      <c r="AJ249">
        <v>2</v>
      </c>
      <c r="AK249" t="s">
        <v>685</v>
      </c>
      <c r="AL249" t="s">
        <v>84</v>
      </c>
    </row>
    <row r="250" spans="1:36" ht="15">
      <c r="A250">
        <v>1932</v>
      </c>
      <c r="B250" s="3" t="s">
        <v>688</v>
      </c>
      <c r="C250" s="12" t="s">
        <v>689</v>
      </c>
      <c r="E250" t="s">
        <v>690</v>
      </c>
      <c r="F250">
        <v>130</v>
      </c>
      <c r="G250">
        <v>8</v>
      </c>
      <c r="I250">
        <v>109</v>
      </c>
      <c r="V250">
        <v>4200</v>
      </c>
      <c r="AI250">
        <f>115+87</f>
        <v>202</v>
      </c>
      <c r="AJ250">
        <v>28</v>
      </c>
    </row>
    <row r="251" spans="1:40" ht="15">
      <c r="A251">
        <v>1933</v>
      </c>
      <c r="B251" t="s">
        <v>160</v>
      </c>
      <c r="C251" s="12">
        <v>247</v>
      </c>
      <c r="E251" t="s">
        <v>691</v>
      </c>
      <c r="F251">
        <v>550</v>
      </c>
      <c r="G251">
        <v>14</v>
      </c>
      <c r="AJ251">
        <v>28</v>
      </c>
      <c r="AN251" t="s">
        <v>692</v>
      </c>
    </row>
    <row r="252" spans="1:38" ht="15">
      <c r="A252">
        <v>1933</v>
      </c>
      <c r="B252" t="s">
        <v>448</v>
      </c>
      <c r="C252" s="12" t="s">
        <v>693</v>
      </c>
      <c r="D252" t="s">
        <v>683</v>
      </c>
      <c r="E252" t="s">
        <v>694</v>
      </c>
      <c r="F252">
        <v>703</v>
      </c>
      <c r="H252">
        <v>170</v>
      </c>
      <c r="I252">
        <v>146</v>
      </c>
      <c r="J252">
        <v>59</v>
      </c>
      <c r="K252">
        <v>59</v>
      </c>
      <c r="P252">
        <v>1200</v>
      </c>
      <c r="S252">
        <v>15000</v>
      </c>
      <c r="V252">
        <v>16800</v>
      </c>
      <c r="W252">
        <v>10026</v>
      </c>
      <c r="X252">
        <v>6774</v>
      </c>
      <c r="Z252">
        <v>1100</v>
      </c>
      <c r="AA252">
        <v>60</v>
      </c>
      <c r="AB252">
        <v>85</v>
      </c>
      <c r="AC252">
        <v>1331</v>
      </c>
      <c r="AI252">
        <v>1</v>
      </c>
      <c r="AJ252">
        <v>2</v>
      </c>
      <c r="AK252" t="s">
        <v>695</v>
      </c>
      <c r="AL252" t="s">
        <v>84</v>
      </c>
    </row>
    <row r="253" spans="1:36" ht="15">
      <c r="A253">
        <v>1934</v>
      </c>
      <c r="B253" t="s">
        <v>254</v>
      </c>
      <c r="C253" s="12" t="s">
        <v>696</v>
      </c>
      <c r="G253">
        <v>17</v>
      </c>
      <c r="I253">
        <v>190</v>
      </c>
      <c r="P253">
        <v>1000</v>
      </c>
      <c r="V253">
        <v>18560</v>
      </c>
      <c r="AB253">
        <v>85</v>
      </c>
      <c r="AI253">
        <v>198</v>
      </c>
      <c r="AJ253">
        <v>28</v>
      </c>
    </row>
    <row r="254" spans="2:36" ht="15">
      <c r="B254" t="s">
        <v>254</v>
      </c>
      <c r="C254" s="12" t="s">
        <v>697</v>
      </c>
      <c r="AI254">
        <v>10654</v>
      </c>
      <c r="AJ254">
        <v>28</v>
      </c>
    </row>
    <row r="255" spans="1:36" ht="15">
      <c r="A255">
        <v>1934</v>
      </c>
      <c r="B255" t="s">
        <v>74</v>
      </c>
      <c r="C255" s="12" t="s">
        <v>698</v>
      </c>
      <c r="D255" t="s">
        <v>699</v>
      </c>
      <c r="H255">
        <v>190</v>
      </c>
      <c r="V255">
        <v>10300</v>
      </c>
      <c r="AB255">
        <v>55</v>
      </c>
      <c r="AI255">
        <v>101</v>
      </c>
      <c r="AJ255">
        <v>28</v>
      </c>
    </row>
    <row r="256" spans="1:36" ht="15">
      <c r="A256">
        <v>1934</v>
      </c>
      <c r="B256" t="s">
        <v>688</v>
      </c>
      <c r="C256" s="12" t="s">
        <v>700</v>
      </c>
      <c r="E256" t="s">
        <v>701</v>
      </c>
      <c r="F256">
        <v>200</v>
      </c>
      <c r="G256">
        <f>2+12</f>
        <v>14</v>
      </c>
      <c r="I256">
        <v>145</v>
      </c>
      <c r="P256">
        <v>760</v>
      </c>
      <c r="AI256">
        <v>62</v>
      </c>
      <c r="AJ256">
        <v>28</v>
      </c>
    </row>
    <row r="257" spans="1:36" ht="15">
      <c r="A257">
        <v>1936</v>
      </c>
      <c r="B257" t="s">
        <v>702</v>
      </c>
      <c r="C257" s="12" t="s">
        <v>703</v>
      </c>
      <c r="D257" t="s">
        <v>683</v>
      </c>
      <c r="E257" t="s">
        <v>704</v>
      </c>
      <c r="F257">
        <v>760</v>
      </c>
      <c r="G257">
        <f>17+9+3</f>
        <v>29</v>
      </c>
      <c r="I257">
        <v>201.9</v>
      </c>
      <c r="P257">
        <v>776</v>
      </c>
      <c r="V257">
        <v>31987</v>
      </c>
      <c r="AB257">
        <f>108+3.25/12</f>
        <v>108.27083333333333</v>
      </c>
      <c r="AI257">
        <f>1+10+2+2+263</f>
        <v>278</v>
      </c>
      <c r="AJ257">
        <v>28</v>
      </c>
    </row>
    <row r="258" spans="1:36" ht="15">
      <c r="A258">
        <v>1937</v>
      </c>
      <c r="B258" t="s">
        <v>688</v>
      </c>
      <c r="C258" s="12" t="s">
        <v>705</v>
      </c>
      <c r="D258" t="s">
        <v>706</v>
      </c>
      <c r="E258" t="s">
        <v>707</v>
      </c>
      <c r="F258">
        <v>525</v>
      </c>
      <c r="G258">
        <f>2+22</f>
        <v>24</v>
      </c>
      <c r="H258">
        <v>234</v>
      </c>
      <c r="I258">
        <v>210</v>
      </c>
      <c r="V258">
        <v>29500</v>
      </c>
      <c r="AB258">
        <f>104+8/12</f>
        <v>104.66666666666667</v>
      </c>
      <c r="AI258">
        <v>6</v>
      </c>
      <c r="AJ258">
        <v>28</v>
      </c>
    </row>
    <row r="259" spans="1:38" ht="15">
      <c r="A259">
        <v>1937</v>
      </c>
      <c r="B259" t="s">
        <v>119</v>
      </c>
      <c r="C259" s="12" t="s">
        <v>708</v>
      </c>
      <c r="E259" t="s">
        <v>709</v>
      </c>
      <c r="F259">
        <v>950</v>
      </c>
      <c r="H259">
        <v>258</v>
      </c>
      <c r="I259">
        <v>216</v>
      </c>
      <c r="P259">
        <v>963</v>
      </c>
      <c r="R259">
        <f>1000/2.5</f>
        <v>400</v>
      </c>
      <c r="S259">
        <v>25260</v>
      </c>
      <c r="T259">
        <v>26575</v>
      </c>
      <c r="V259">
        <v>16193</v>
      </c>
      <c r="W259">
        <v>10461</v>
      </c>
      <c r="X259">
        <v>5732</v>
      </c>
      <c r="AB259">
        <f>68+10.75/12</f>
        <v>68.89583333333333</v>
      </c>
      <c r="AC259">
        <v>217.2</v>
      </c>
      <c r="AJ259">
        <v>2</v>
      </c>
      <c r="AK259" t="s">
        <v>710</v>
      </c>
      <c r="AL259" t="s">
        <v>711</v>
      </c>
    </row>
    <row r="260" spans="1:40" ht="15">
      <c r="A260">
        <v>1937</v>
      </c>
      <c r="B260" t="s">
        <v>74</v>
      </c>
      <c r="C260" s="12" t="s">
        <v>712</v>
      </c>
      <c r="E260" t="s">
        <v>691</v>
      </c>
      <c r="F260">
        <v>550</v>
      </c>
      <c r="S260">
        <v>32500</v>
      </c>
      <c r="AN260" t="s">
        <v>713</v>
      </c>
    </row>
    <row r="261" spans="1:36" ht="15">
      <c r="A261">
        <v>1937</v>
      </c>
      <c r="B261" t="s">
        <v>714</v>
      </c>
      <c r="C261" s="12" t="s">
        <v>715</v>
      </c>
      <c r="E261" t="s">
        <v>716</v>
      </c>
      <c r="F261">
        <v>750</v>
      </c>
      <c r="G261">
        <v>32</v>
      </c>
      <c r="I261">
        <v>202</v>
      </c>
      <c r="V261">
        <v>31967</v>
      </c>
      <c r="AB261">
        <f>97+5.5/12</f>
        <v>97.45833333333333</v>
      </c>
      <c r="AI261">
        <v>70</v>
      </c>
      <c r="AJ261">
        <v>28</v>
      </c>
    </row>
    <row r="262" spans="1:36" ht="15">
      <c r="A262">
        <v>1938</v>
      </c>
      <c r="B262" t="s">
        <v>717</v>
      </c>
      <c r="C262" s="12" t="s">
        <v>718</v>
      </c>
      <c r="E262" t="s">
        <v>719</v>
      </c>
      <c r="F262">
        <v>250</v>
      </c>
      <c r="H262">
        <v>211</v>
      </c>
      <c r="I262">
        <v>200</v>
      </c>
      <c r="O262">
        <v>835</v>
      </c>
      <c r="P262">
        <v>675</v>
      </c>
      <c r="S262">
        <v>24000</v>
      </c>
      <c r="V262">
        <v>6200</v>
      </c>
      <c r="W262">
        <v>4141</v>
      </c>
      <c r="X262">
        <v>2059</v>
      </c>
      <c r="Z262">
        <v>150</v>
      </c>
      <c r="AA262">
        <v>10</v>
      </c>
      <c r="AB262">
        <v>49</v>
      </c>
      <c r="AJ262">
        <v>2</v>
      </c>
    </row>
    <row r="263" spans="1:40" ht="15">
      <c r="A263">
        <v>1938</v>
      </c>
      <c r="B263" t="s">
        <v>160</v>
      </c>
      <c r="C263" s="12">
        <v>307</v>
      </c>
      <c r="D263" t="s">
        <v>720</v>
      </c>
      <c r="E263" s="3" t="s">
        <v>721</v>
      </c>
      <c r="F263">
        <v>1100</v>
      </c>
      <c r="G263">
        <f>3+3+33</f>
        <v>39</v>
      </c>
      <c r="H263">
        <v>246</v>
      </c>
      <c r="I263">
        <v>220</v>
      </c>
      <c r="P263">
        <v>2390</v>
      </c>
      <c r="R263">
        <v>1200</v>
      </c>
      <c r="S263">
        <v>23800</v>
      </c>
      <c r="T263">
        <v>25200</v>
      </c>
      <c r="V263">
        <v>42000</v>
      </c>
      <c r="W263">
        <v>30310</v>
      </c>
      <c r="X263">
        <f>42000-30310</f>
        <v>11690</v>
      </c>
      <c r="Z263">
        <v>1275</v>
      </c>
      <c r="AA263">
        <v>100</v>
      </c>
      <c r="AB263">
        <f>107+3/12</f>
        <v>107.25</v>
      </c>
      <c r="AC263">
        <v>1486</v>
      </c>
      <c r="AI263">
        <v>8</v>
      </c>
      <c r="AJ263" t="s">
        <v>722</v>
      </c>
      <c r="AK263" t="s">
        <v>723</v>
      </c>
      <c r="AL263" t="s">
        <v>724</v>
      </c>
      <c r="AN263" t="s">
        <v>713</v>
      </c>
    </row>
    <row r="264" spans="1:38" ht="15">
      <c r="A264">
        <v>1940</v>
      </c>
      <c r="B264" t="s">
        <v>571</v>
      </c>
      <c r="C264" s="12" t="s">
        <v>725</v>
      </c>
      <c r="E264" t="s">
        <v>726</v>
      </c>
      <c r="F264">
        <v>450</v>
      </c>
      <c r="G264" t="s">
        <v>727</v>
      </c>
      <c r="H264">
        <v>230</v>
      </c>
      <c r="I264">
        <v>211</v>
      </c>
      <c r="O264" t="s">
        <v>728</v>
      </c>
      <c r="R264">
        <v>1250</v>
      </c>
      <c r="S264">
        <v>21200</v>
      </c>
      <c r="V264">
        <v>8570</v>
      </c>
      <c r="W264">
        <v>5697</v>
      </c>
      <c r="X264">
        <v>3053</v>
      </c>
      <c r="Z264" t="s">
        <v>729</v>
      </c>
      <c r="AB264">
        <f>47+7/12</f>
        <v>47.583333333333336</v>
      </c>
      <c r="AJ264">
        <v>2</v>
      </c>
      <c r="AK264" t="s">
        <v>730</v>
      </c>
      <c r="AL264" t="s">
        <v>605</v>
      </c>
    </row>
    <row r="265" ht="15">
      <c r="C265" s="13"/>
    </row>
    <row r="266" spans="1:3" ht="15.75">
      <c r="A266" s="11" t="s">
        <v>731</v>
      </c>
      <c r="C266" s="13"/>
    </row>
    <row r="267" spans="1:38" ht="15">
      <c r="A267">
        <v>1913</v>
      </c>
      <c r="B267" t="s">
        <v>95</v>
      </c>
      <c r="C267" s="12" t="s">
        <v>732</v>
      </c>
      <c r="G267">
        <v>2</v>
      </c>
      <c r="AB267">
        <f>34+10/12</f>
        <v>34.833333333333336</v>
      </c>
      <c r="AI267">
        <v>301</v>
      </c>
      <c r="AJ267">
        <v>2</v>
      </c>
      <c r="AK267" t="s">
        <v>733</v>
      </c>
      <c r="AL267" t="s">
        <v>84</v>
      </c>
    </row>
    <row r="268" spans="1:38" ht="15">
      <c r="A268">
        <v>1916</v>
      </c>
      <c r="B268" t="s">
        <v>95</v>
      </c>
      <c r="C268" s="12" t="s">
        <v>734</v>
      </c>
      <c r="D268" t="s">
        <v>735</v>
      </c>
      <c r="E268" t="s">
        <v>736</v>
      </c>
      <c r="F268">
        <v>150</v>
      </c>
      <c r="G268">
        <v>3</v>
      </c>
      <c r="H268">
        <v>76.5</v>
      </c>
      <c r="I268">
        <v>68</v>
      </c>
      <c r="J268">
        <v>48.5</v>
      </c>
      <c r="O268" t="s">
        <v>91</v>
      </c>
      <c r="P268">
        <v>288</v>
      </c>
      <c r="R268">
        <f>3000/10</f>
        <v>300</v>
      </c>
      <c r="V268">
        <v>2726</v>
      </c>
      <c r="W268">
        <v>1957</v>
      </c>
      <c r="X268">
        <v>769</v>
      </c>
      <c r="Z268">
        <v>43</v>
      </c>
      <c r="AA268">
        <v>6</v>
      </c>
      <c r="AB268">
        <f>49+9.75/12</f>
        <v>49.8125</v>
      </c>
      <c r="AJ268">
        <v>2</v>
      </c>
      <c r="AK268" t="s">
        <v>737</v>
      </c>
      <c r="AL268" t="s">
        <v>84</v>
      </c>
    </row>
    <row r="269" spans="1:38" ht="15">
      <c r="A269">
        <v>1918</v>
      </c>
      <c r="B269" t="s">
        <v>136</v>
      </c>
      <c r="C269" s="12" t="s">
        <v>738</v>
      </c>
      <c r="E269" t="s">
        <v>739</v>
      </c>
      <c r="F269">
        <v>100</v>
      </c>
      <c r="G269">
        <v>2</v>
      </c>
      <c r="H269">
        <v>68</v>
      </c>
      <c r="J269">
        <v>52</v>
      </c>
      <c r="R269">
        <v>230</v>
      </c>
      <c r="S269">
        <v>7000</v>
      </c>
      <c r="V269">
        <v>2520</v>
      </c>
      <c r="W269">
        <v>1820</v>
      </c>
      <c r="X269">
        <v>700</v>
      </c>
      <c r="Z269">
        <v>38</v>
      </c>
      <c r="AA269">
        <v>3</v>
      </c>
      <c r="AJ269">
        <v>2</v>
      </c>
      <c r="AK269" t="s">
        <v>139</v>
      </c>
      <c r="AL269" t="s">
        <v>84</v>
      </c>
    </row>
    <row r="270" spans="1:38" ht="15">
      <c r="A270">
        <v>1923</v>
      </c>
      <c r="B270" t="s">
        <v>199</v>
      </c>
      <c r="C270" s="12" t="s">
        <v>740</v>
      </c>
      <c r="E270" t="s">
        <v>741</v>
      </c>
      <c r="F270">
        <v>650</v>
      </c>
      <c r="G270">
        <v>1</v>
      </c>
      <c r="H270">
        <v>204</v>
      </c>
      <c r="V270">
        <v>4447</v>
      </c>
      <c r="W270">
        <v>3565</v>
      </c>
      <c r="X270">
        <v>882</v>
      </c>
      <c r="Z270">
        <v>106</v>
      </c>
      <c r="AA270">
        <v>8.5</v>
      </c>
      <c r="AB270">
        <f>27+(11+(11/16))/12</f>
        <v>27.973958333333332</v>
      </c>
      <c r="AC270">
        <v>266</v>
      </c>
      <c r="AJ270">
        <v>3</v>
      </c>
      <c r="AK270" t="s">
        <v>742</v>
      </c>
      <c r="AL270" t="s">
        <v>84</v>
      </c>
    </row>
    <row r="271" spans="1:38" ht="15">
      <c r="A271">
        <v>1924</v>
      </c>
      <c r="B271" t="s">
        <v>85</v>
      </c>
      <c r="C271" s="12" t="s">
        <v>743</v>
      </c>
      <c r="E271" s="3" t="s">
        <v>222</v>
      </c>
      <c r="F271">
        <v>750</v>
      </c>
      <c r="G271">
        <v>1</v>
      </c>
      <c r="H271">
        <v>235</v>
      </c>
      <c r="J271">
        <v>110</v>
      </c>
      <c r="V271">
        <v>4161</v>
      </c>
      <c r="W271">
        <v>3296</v>
      </c>
      <c r="X271">
        <v>865</v>
      </c>
      <c r="Z271">
        <v>95</v>
      </c>
      <c r="AA271">
        <v>9</v>
      </c>
      <c r="AB271">
        <v>23</v>
      </c>
      <c r="AC271">
        <v>170</v>
      </c>
      <c r="AJ271">
        <v>3</v>
      </c>
      <c r="AK271" t="s">
        <v>744</v>
      </c>
      <c r="AL271" t="s">
        <v>84</v>
      </c>
    </row>
    <row r="272" spans="1:36" ht="15">
      <c r="A272">
        <v>1925</v>
      </c>
      <c r="B272" t="s">
        <v>745</v>
      </c>
      <c r="C272" s="13" t="s">
        <v>746</v>
      </c>
      <c r="E272" s="5" t="s">
        <v>747</v>
      </c>
      <c r="F272">
        <v>430</v>
      </c>
      <c r="G272">
        <v>2</v>
      </c>
      <c r="H272">
        <v>124.1</v>
      </c>
      <c r="V272">
        <v>5080</v>
      </c>
      <c r="AB272">
        <v>45</v>
      </c>
      <c r="AC272">
        <v>511.6</v>
      </c>
      <c r="AI272">
        <v>10</v>
      </c>
      <c r="AJ272" t="s">
        <v>82</v>
      </c>
    </row>
    <row r="273" spans="1:40" ht="15">
      <c r="A273">
        <v>1930</v>
      </c>
      <c r="B273" t="s">
        <v>748</v>
      </c>
      <c r="C273" s="12" t="s">
        <v>749</v>
      </c>
      <c r="E273" t="s">
        <v>750</v>
      </c>
      <c r="F273">
        <v>300</v>
      </c>
      <c r="G273">
        <v>4</v>
      </c>
      <c r="H273">
        <v>119</v>
      </c>
      <c r="I273">
        <v>100</v>
      </c>
      <c r="J273">
        <v>54</v>
      </c>
      <c r="P273">
        <v>400</v>
      </c>
      <c r="R273">
        <v>750</v>
      </c>
      <c r="S273">
        <v>18000</v>
      </c>
      <c r="V273">
        <v>4000</v>
      </c>
      <c r="W273">
        <v>2678</v>
      </c>
      <c r="X273">
        <v>1322</v>
      </c>
      <c r="Z273">
        <v>65</v>
      </c>
      <c r="AA273">
        <v>6</v>
      </c>
      <c r="AB273">
        <v>52</v>
      </c>
      <c r="AC273">
        <v>350</v>
      </c>
      <c r="AJ273">
        <v>3</v>
      </c>
      <c r="AK273" t="s">
        <v>751</v>
      </c>
      <c r="AL273" t="s">
        <v>84</v>
      </c>
      <c r="AN273" t="s">
        <v>752</v>
      </c>
    </row>
    <row r="274" ht="15">
      <c r="C274" s="13"/>
    </row>
    <row r="275" spans="1:3" ht="15.75">
      <c r="A275" s="11" t="s">
        <v>753</v>
      </c>
      <c r="C275" s="13"/>
    </row>
    <row r="276" spans="2:49" ht="15">
      <c r="B276" t="s">
        <v>95</v>
      </c>
      <c r="C276" s="12" t="s">
        <v>754</v>
      </c>
      <c r="E276" s="3" t="s">
        <v>755</v>
      </c>
      <c r="F276">
        <v>360</v>
      </c>
      <c r="H276">
        <v>83.6</v>
      </c>
      <c r="I276">
        <v>66.3</v>
      </c>
      <c r="J276">
        <v>54</v>
      </c>
      <c r="K276">
        <v>48</v>
      </c>
      <c r="L276">
        <v>48</v>
      </c>
      <c r="R276">
        <v>390</v>
      </c>
      <c r="S276">
        <v>6800</v>
      </c>
      <c r="T276">
        <v>9200</v>
      </c>
      <c r="V276">
        <v>13600</v>
      </c>
      <c r="W276">
        <v>9720</v>
      </c>
      <c r="X276">
        <f>13600-9720</f>
        <v>3880</v>
      </c>
      <c r="AB276">
        <f>103+9.25/12</f>
        <v>103.77083333333333</v>
      </c>
      <c r="AC276">
        <v>1397</v>
      </c>
      <c r="AD276">
        <f>2*59.5</f>
        <v>119</v>
      </c>
      <c r="AE276">
        <v>121</v>
      </c>
      <c r="AF276">
        <v>55</v>
      </c>
      <c r="AG276">
        <v>54</v>
      </c>
      <c r="AH276">
        <v>33</v>
      </c>
      <c r="AJ276">
        <v>22</v>
      </c>
      <c r="AK276" t="s">
        <v>756</v>
      </c>
      <c r="AL276" t="s">
        <v>84</v>
      </c>
      <c r="AW276">
        <v>105</v>
      </c>
    </row>
    <row r="277" spans="1:38" ht="15">
      <c r="A277">
        <v>1916</v>
      </c>
      <c r="B277" t="s">
        <v>757</v>
      </c>
      <c r="C277" s="12" t="s">
        <v>758</v>
      </c>
      <c r="E277" t="s">
        <v>759</v>
      </c>
      <c r="F277">
        <v>150</v>
      </c>
      <c r="G277">
        <v>2</v>
      </c>
      <c r="H277">
        <f>(80+90)/2</f>
        <v>85</v>
      </c>
      <c r="I277">
        <v>72</v>
      </c>
      <c r="J277">
        <f>(64+45)/2</f>
        <v>54.5</v>
      </c>
      <c r="Q277">
        <v>4</v>
      </c>
      <c r="R277">
        <f>5000/5.5</f>
        <v>909.0909090909091</v>
      </c>
      <c r="V277">
        <v>4604</v>
      </c>
      <c r="W277">
        <v>3600</v>
      </c>
      <c r="X277">
        <v>1004</v>
      </c>
      <c r="Z277">
        <v>75</v>
      </c>
      <c r="AB277">
        <v>48</v>
      </c>
      <c r="AC277">
        <v>658</v>
      </c>
      <c r="AD277">
        <f>658-602</f>
        <v>56</v>
      </c>
      <c r="AJ277">
        <v>2</v>
      </c>
      <c r="AK277" t="s">
        <v>195</v>
      </c>
      <c r="AL277" t="s">
        <v>84</v>
      </c>
    </row>
    <row r="278" spans="1:38" ht="15">
      <c r="A278">
        <v>1933</v>
      </c>
      <c r="B278" t="s">
        <v>250</v>
      </c>
      <c r="C278" s="12" t="s">
        <v>760</v>
      </c>
      <c r="E278" t="s">
        <v>761</v>
      </c>
      <c r="F278">
        <v>700</v>
      </c>
      <c r="H278">
        <v>135</v>
      </c>
      <c r="I278">
        <v>109</v>
      </c>
      <c r="J278">
        <v>63</v>
      </c>
      <c r="O278">
        <v>1800</v>
      </c>
      <c r="S278">
        <v>16100</v>
      </c>
      <c r="U278">
        <v>22319</v>
      </c>
      <c r="V278">
        <v>20797</v>
      </c>
      <c r="W278">
        <v>11900</v>
      </c>
      <c r="X278">
        <v>8897</v>
      </c>
      <c r="Z278">
        <f>6000/6</f>
        <v>1000</v>
      </c>
      <c r="AB278">
        <v>100</v>
      </c>
      <c r="AC278">
        <v>1514</v>
      </c>
      <c r="AJ278">
        <v>2</v>
      </c>
      <c r="AK278" t="s">
        <v>762</v>
      </c>
      <c r="AL278" t="s">
        <v>84</v>
      </c>
    </row>
    <row r="279" spans="1:36" ht="15">
      <c r="A279">
        <v>1936</v>
      </c>
      <c r="B279" t="s">
        <v>763</v>
      </c>
      <c r="C279" s="12" t="s">
        <v>764</v>
      </c>
      <c r="E279" t="s">
        <v>765</v>
      </c>
      <c r="F279">
        <v>920</v>
      </c>
      <c r="G279">
        <v>30</v>
      </c>
      <c r="O279">
        <v>700</v>
      </c>
      <c r="AI279">
        <v>28</v>
      </c>
      <c r="AJ279">
        <v>28</v>
      </c>
    </row>
    <row r="280" spans="1:36" ht="15">
      <c r="A280">
        <v>1938</v>
      </c>
      <c r="B280" t="s">
        <v>160</v>
      </c>
      <c r="C280" s="12">
        <v>314</v>
      </c>
      <c r="E280" t="s">
        <v>766</v>
      </c>
      <c r="F280">
        <v>1500</v>
      </c>
      <c r="G280">
        <v>84</v>
      </c>
      <c r="Z280">
        <v>4200</v>
      </c>
      <c r="AJ280">
        <v>28</v>
      </c>
    </row>
    <row r="281" spans="1:38" ht="15">
      <c r="A281">
        <v>1940</v>
      </c>
      <c r="B281" t="s">
        <v>518</v>
      </c>
      <c r="C281" s="12" t="s">
        <v>767</v>
      </c>
      <c r="D281" t="s">
        <v>768</v>
      </c>
      <c r="E281" t="s">
        <v>769</v>
      </c>
      <c r="F281">
        <v>200</v>
      </c>
      <c r="G281">
        <v>5</v>
      </c>
      <c r="H281">
        <v>150</v>
      </c>
      <c r="I281">
        <v>142</v>
      </c>
      <c r="J281">
        <v>50</v>
      </c>
      <c r="N281">
        <v>895</v>
      </c>
      <c r="R281">
        <v>1000</v>
      </c>
      <c r="S281">
        <v>15000</v>
      </c>
      <c r="V281">
        <v>4525</v>
      </c>
      <c r="W281">
        <v>3325</v>
      </c>
      <c r="X281">
        <v>1200</v>
      </c>
      <c r="Z281">
        <v>108</v>
      </c>
      <c r="AA281">
        <v>7</v>
      </c>
      <c r="AB281">
        <v>40</v>
      </c>
      <c r="AC281">
        <v>245</v>
      </c>
      <c r="AJ281">
        <v>2</v>
      </c>
      <c r="AK281" t="s">
        <v>770</v>
      </c>
      <c r="AL281" t="s">
        <v>711</v>
      </c>
    </row>
    <row r="288" ht="15">
      <c r="A288" t="s">
        <v>771</v>
      </c>
    </row>
    <row r="289" spans="2:5" ht="15">
      <c r="B289">
        <v>1</v>
      </c>
      <c r="C289" t="s">
        <v>772</v>
      </c>
      <c r="E289" t="s">
        <v>773</v>
      </c>
    </row>
    <row r="290" spans="1:5" ht="15">
      <c r="A290" t="s">
        <v>91</v>
      </c>
      <c r="B290">
        <v>2</v>
      </c>
      <c r="C290" t="s">
        <v>774</v>
      </c>
      <c r="E290" t="s">
        <v>775</v>
      </c>
    </row>
    <row r="291" spans="2:5" ht="15">
      <c r="B291">
        <v>3</v>
      </c>
      <c r="C291" t="s">
        <v>774</v>
      </c>
      <c r="E291" t="s">
        <v>776</v>
      </c>
    </row>
    <row r="292" spans="2:5" ht="15">
      <c r="B292">
        <v>4</v>
      </c>
      <c r="C292" t="s">
        <v>777</v>
      </c>
      <c r="E292" s="3" t="s">
        <v>778</v>
      </c>
    </row>
    <row r="293" spans="1:3" ht="15">
      <c r="A293" t="s">
        <v>779</v>
      </c>
      <c r="B293">
        <v>5</v>
      </c>
      <c r="C293" t="s">
        <v>780</v>
      </c>
    </row>
    <row r="294" spans="2:5" ht="15">
      <c r="B294">
        <v>6</v>
      </c>
      <c r="C294" t="s">
        <v>781</v>
      </c>
      <c r="E294" t="s">
        <v>782</v>
      </c>
    </row>
    <row r="295" spans="2:5" ht="15">
      <c r="B295">
        <v>7</v>
      </c>
      <c r="C295" s="3" t="s">
        <v>783</v>
      </c>
      <c r="E295" t="s">
        <v>784</v>
      </c>
    </row>
    <row r="296" spans="2:5" ht="15">
      <c r="B296">
        <v>8</v>
      </c>
      <c r="C296" t="s">
        <v>785</v>
      </c>
      <c r="E296" t="s">
        <v>786</v>
      </c>
    </row>
    <row r="297" spans="2:5" ht="15">
      <c r="B297">
        <v>9</v>
      </c>
      <c r="C297" t="s">
        <v>787</v>
      </c>
      <c r="D297" t="s">
        <v>91</v>
      </c>
      <c r="E297" t="s">
        <v>788</v>
      </c>
    </row>
    <row r="298" spans="2:5" ht="15">
      <c r="B298">
        <v>10</v>
      </c>
      <c r="C298" t="s">
        <v>789</v>
      </c>
      <c r="D298" t="s">
        <v>91</v>
      </c>
      <c r="E298" t="s">
        <v>790</v>
      </c>
    </row>
    <row r="299" spans="2:3" ht="15">
      <c r="B299">
        <v>11</v>
      </c>
      <c r="C299" t="s">
        <v>791</v>
      </c>
    </row>
    <row r="300" spans="2:5" ht="15">
      <c r="B300">
        <v>12</v>
      </c>
      <c r="C300" t="s">
        <v>792</v>
      </c>
      <c r="E300" t="s">
        <v>793</v>
      </c>
    </row>
    <row r="301" spans="2:5" ht="15">
      <c r="B301">
        <v>13</v>
      </c>
      <c r="C301" t="s">
        <v>792</v>
      </c>
      <c r="E301" t="s">
        <v>794</v>
      </c>
    </row>
    <row r="302" spans="2:5" ht="15">
      <c r="B302">
        <v>14</v>
      </c>
      <c r="C302" t="s">
        <v>795</v>
      </c>
      <c r="D302" t="s">
        <v>91</v>
      </c>
      <c r="E302">
        <v>1988</v>
      </c>
    </row>
    <row r="303" spans="2:5" ht="15">
      <c r="B303">
        <v>15</v>
      </c>
      <c r="C303" t="s">
        <v>792</v>
      </c>
      <c r="E303">
        <v>1976</v>
      </c>
    </row>
    <row r="304" spans="2:5" ht="15">
      <c r="B304">
        <v>16</v>
      </c>
      <c r="C304" t="s">
        <v>792</v>
      </c>
      <c r="E304" t="s">
        <v>796</v>
      </c>
    </row>
    <row r="305" spans="2:5" ht="15">
      <c r="B305">
        <v>17</v>
      </c>
      <c r="C305" t="s">
        <v>797</v>
      </c>
      <c r="E305" t="s">
        <v>798</v>
      </c>
    </row>
    <row r="306" spans="2:5" ht="15">
      <c r="B306">
        <v>18</v>
      </c>
      <c r="C306" t="s">
        <v>799</v>
      </c>
      <c r="E306" t="s">
        <v>800</v>
      </c>
    </row>
    <row r="307" spans="2:5" ht="15">
      <c r="B307">
        <v>19</v>
      </c>
      <c r="C307" t="s">
        <v>801</v>
      </c>
      <c r="E307" t="s">
        <v>802</v>
      </c>
    </row>
    <row r="308" spans="2:5" ht="15">
      <c r="B308">
        <v>20</v>
      </c>
      <c r="C308" t="s">
        <v>803</v>
      </c>
      <c r="E308" s="3" t="s">
        <v>804</v>
      </c>
    </row>
    <row r="309" spans="2:5" ht="15">
      <c r="B309">
        <v>21</v>
      </c>
      <c r="C309" t="s">
        <v>805</v>
      </c>
      <c r="E309" t="s">
        <v>806</v>
      </c>
    </row>
    <row r="310" spans="2:5" ht="15">
      <c r="B310">
        <v>22</v>
      </c>
      <c r="C310" t="s">
        <v>807</v>
      </c>
      <c r="D310" t="s">
        <v>91</v>
      </c>
      <c r="E310" t="s">
        <v>808</v>
      </c>
    </row>
    <row r="311" spans="2:5" ht="15">
      <c r="B311">
        <v>23</v>
      </c>
      <c r="C311" t="s">
        <v>809</v>
      </c>
      <c r="D311" t="s">
        <v>91</v>
      </c>
      <c r="E311" t="s">
        <v>810</v>
      </c>
    </row>
    <row r="312" spans="2:5" ht="15">
      <c r="B312">
        <v>24</v>
      </c>
      <c r="C312" t="s">
        <v>811</v>
      </c>
      <c r="D312" t="s">
        <v>91</v>
      </c>
      <c r="E312" t="s">
        <v>812</v>
      </c>
    </row>
    <row r="313" spans="2:5" ht="15">
      <c r="B313">
        <v>25</v>
      </c>
      <c r="C313" t="s">
        <v>813</v>
      </c>
      <c r="D313" t="s">
        <v>91</v>
      </c>
      <c r="E313" t="s">
        <v>814</v>
      </c>
    </row>
    <row r="314" spans="2:5" ht="15">
      <c r="B314">
        <v>26</v>
      </c>
      <c r="C314" t="s">
        <v>815</v>
      </c>
      <c r="E314" t="s">
        <v>816</v>
      </c>
    </row>
    <row r="315" spans="2:5" ht="15">
      <c r="B315">
        <v>27</v>
      </c>
      <c r="C315" t="s">
        <v>817</v>
      </c>
      <c r="E315" t="s">
        <v>818</v>
      </c>
    </row>
    <row r="316" spans="2:5" ht="15">
      <c r="B316">
        <v>28</v>
      </c>
      <c r="C316" t="s">
        <v>819</v>
      </c>
      <c r="D316" t="s">
        <v>91</v>
      </c>
      <c r="E316" t="s">
        <v>820</v>
      </c>
    </row>
    <row r="317" spans="2:5" ht="15">
      <c r="B317">
        <v>29</v>
      </c>
      <c r="C317" t="s">
        <v>821</v>
      </c>
      <c r="D317" t="s">
        <v>91</v>
      </c>
      <c r="E317" t="s">
        <v>822</v>
      </c>
    </row>
    <row r="318" spans="2:5" ht="15">
      <c r="B318">
        <v>30</v>
      </c>
      <c r="C318" t="s">
        <v>823</v>
      </c>
      <c r="E318" t="s">
        <v>824</v>
      </c>
    </row>
    <row r="319" spans="2:5" ht="15">
      <c r="B319">
        <v>31</v>
      </c>
      <c r="C319" t="s">
        <v>825</v>
      </c>
      <c r="E319" t="s">
        <v>826</v>
      </c>
    </row>
    <row r="320" spans="2:5" ht="15">
      <c r="B320">
        <v>32</v>
      </c>
      <c r="C320" t="s">
        <v>827</v>
      </c>
      <c r="E320" t="s">
        <v>828</v>
      </c>
    </row>
    <row r="321" spans="2:5" ht="15">
      <c r="B321">
        <v>33</v>
      </c>
      <c r="C321" t="s">
        <v>829</v>
      </c>
      <c r="D321" t="s">
        <v>91</v>
      </c>
      <c r="E321" t="s">
        <v>830</v>
      </c>
    </row>
    <row r="322" spans="2:5" ht="15">
      <c r="B322">
        <v>34</v>
      </c>
      <c r="C322" t="s">
        <v>831</v>
      </c>
      <c r="D322" t="s">
        <v>91</v>
      </c>
      <c r="E322" t="s">
        <v>832</v>
      </c>
    </row>
    <row r="323" spans="2:5" ht="15">
      <c r="B323">
        <v>35</v>
      </c>
      <c r="C323" t="s">
        <v>833</v>
      </c>
      <c r="D323" t="s">
        <v>91</v>
      </c>
      <c r="E323" s="3" t="s">
        <v>834</v>
      </c>
    </row>
    <row r="324" spans="2:5" ht="15">
      <c r="B324">
        <v>36</v>
      </c>
      <c r="C324" t="s">
        <v>835</v>
      </c>
      <c r="E324" t="s">
        <v>836</v>
      </c>
    </row>
    <row r="325" spans="2:5" ht="15">
      <c r="B325">
        <v>37</v>
      </c>
      <c r="C325" t="s">
        <v>837</v>
      </c>
      <c r="E325" t="s">
        <v>838</v>
      </c>
    </row>
    <row r="326" spans="2:5" ht="15">
      <c r="B326">
        <v>38</v>
      </c>
      <c r="C326" t="s">
        <v>839</v>
      </c>
      <c r="D326" t="s">
        <v>91</v>
      </c>
      <c r="E326" t="s">
        <v>840</v>
      </c>
    </row>
    <row r="327" spans="2:5" ht="15">
      <c r="B327">
        <v>39</v>
      </c>
      <c r="C327" t="s">
        <v>841</v>
      </c>
      <c r="E327" t="s">
        <v>842</v>
      </c>
    </row>
    <row r="328" spans="2:5" ht="15">
      <c r="B328">
        <v>40</v>
      </c>
      <c r="C328" t="s">
        <v>843</v>
      </c>
      <c r="E328" t="s">
        <v>844</v>
      </c>
    </row>
    <row r="329" spans="2:5" ht="15">
      <c r="B329">
        <v>41</v>
      </c>
      <c r="C329" t="s">
        <v>847</v>
      </c>
      <c r="E329" t="s">
        <v>848</v>
      </c>
    </row>
    <row r="330" spans="2:5" ht="15">
      <c r="B330">
        <v>42</v>
      </c>
      <c r="C330" t="s">
        <v>849</v>
      </c>
      <c r="E330" t="s">
        <v>850</v>
      </c>
    </row>
  </sheetData>
  <printOptions/>
  <pageMargins left="0.5" right="0.5" top="0.5" bottom="0.5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Susan Neal</cp:lastModifiedBy>
  <dcterms:created xsi:type="dcterms:W3CDTF">2002-11-02T03:46:18Z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